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C:\Users\swans\Desktop\Desktop\MuniCast\Misc\"/>
    </mc:Choice>
  </mc:AlternateContent>
  <xr:revisionPtr revIDLastSave="0" documentId="13_ncr:1_{7BDABD63-3C32-47DB-929E-1CE9B817AB9F}" xr6:coauthVersionLast="47" xr6:coauthVersionMax="47" xr10:uidLastSave="{00000000-0000-0000-0000-000000000000}"/>
  <bookViews>
    <workbookView xWindow="-108" yWindow="-108" windowWidth="30936" windowHeight="16776" xr2:uid="{00000000-000D-0000-FFFF-FFFF00000000}"/>
  </bookViews>
  <sheets>
    <sheet name="1-Instructions" sheetId="5" r:id="rId1"/>
    <sheet name="2-Data Input &amp; Assumptions" sheetId="3" r:id="rId2"/>
    <sheet name="3-Cash Flow Chart" sheetId="2" r:id="rId3"/>
    <sheet name="4-Forecast Indicators" sheetId="4" r:id="rId4"/>
    <sheet name="5-FY Table" sheetId="6" state="hidden" r:id="rId5"/>
  </sheets>
  <externalReferences>
    <externalReference r:id="rId6"/>
  </externalReferences>
  <definedNames>
    <definedName name="baseexp1">OFFSET('[1]5-Sensitivity Analysis'!$E$85,0,0,1,yearend)</definedName>
    <definedName name="baserev1">OFFSET('[1]5-Sensitivity Analysis'!$E$83,0,0,1,yearend)</definedName>
    <definedName name="carryover">OFFSET('[1]5-Sensitivity Analysis'!$E$89,0,0,1,yearend)</definedName>
    <definedName name="charteightvar1">OFFSET('[1]2-Chart Gallery'!$D$179,0,0,1,years)</definedName>
    <definedName name="charteightvar2">OFFSET('[1]2-Chart Gallery'!$D$180,0,0,1,years)</definedName>
    <definedName name="chartfivevar1">OFFSET('[1]2-Chart Gallery'!$D$146,0,0,1,years)</definedName>
    <definedName name="chartfivevar2">OFFSET('[1]2-Chart Gallery'!$D$147,0,0,1,years)</definedName>
    <definedName name="chartfourvar1">OFFSET('[1]2-Chart Gallery'!$D$135,0,0,1,years)</definedName>
    <definedName name="chartfourvar2">OFFSET('[1]2-Chart Gallery'!$D$136,0,0,1,years)</definedName>
    <definedName name="chartonevar1">OFFSET('[1]2-Chart Gallery'!$D$99,0,0,1,years)</definedName>
    <definedName name="chartonevar2">OFFSET('[1]2-Chart Gallery'!$D$100,0,0,1,years)</definedName>
    <definedName name="chartonevar3">OFFSET('[1]2-Chart Gallery'!#REF!,0,0,1,years)</definedName>
    <definedName name="chartonevar4">OFFSET('[1]2-Chart Gallery'!#REF!,0,0,1,years)</definedName>
    <definedName name="chartonevar5">OFFSET('[1]2-Chart Gallery'!#REF!,0,0,1,years)</definedName>
    <definedName name="chartonevar6">OFFSET('[1]2-Chart Gallery'!#REF!,0,0,1,years)</definedName>
    <definedName name="chartsevenvar1">OFFSET('[1]2-Chart Gallery'!$D$168,0,0,1,years)</definedName>
    <definedName name="chartsevenvar2">OFFSET('[1]2-Chart Gallery'!$D$169,0,0,1,years)</definedName>
    <definedName name="chartsixvar1">OFFSET('[1]2-Chart Gallery'!$D$157,0,0,1,years)</definedName>
    <definedName name="chartsixvar2">OFFSET('[1]2-Chart Gallery'!$D$158,0,0,1,years)</definedName>
    <definedName name="chartthreevar1">OFFSET('[1]2-Chart Gallery'!$D$124,0,0,1,years)</definedName>
    <definedName name="chartthreevar2">OFFSET('[1]2-Chart Gallery'!$D$125,0,0,1,years)</definedName>
    <definedName name="charttwovar1">OFFSET('[1]2-Chart Gallery'!$D$113,0,0,1,years)</definedName>
    <definedName name="charttwovar2">OFFSET('[1]2-Chart Gallery'!$D$114,0,0,1,years)</definedName>
    <definedName name="charttwovar3">OFFSET('[1]2-Chart Gallery'!#REF!,0,0,1,years)</definedName>
    <definedName name="charttwovar4">OFFSET('[1]2-Chart Gallery'!#REF!,0,0,1,years)</definedName>
    <definedName name="charttwovar5">OFFSET('[1]2-Chart Gallery'!#REF!,0,0,1,years)</definedName>
    <definedName name="charttwovar6">OFFSET('[1]2-Chart Gallery'!#REF!,0,0,1,years)</definedName>
    <definedName name="deptchartchained">OFFSET('[1]10-Trend Analysis-Dept'!$D$66,0,0,1,deptyears)</definedName>
    <definedName name="deptchartnominal">OFFSET('[1]10-Trend Analysis-Dept'!$D$65,0,0,1,deptyears)</definedName>
    <definedName name="deptchartpc1">OFFSET('[1]10-Trend Analysis-Dept'!$D$72,0,0,1,deptyears)</definedName>
    <definedName name="deptchartpc2">OFFSET('[1]10-Trend Analysis-Dept'!$D$73,0,0,1,deptyears)</definedName>
    <definedName name="deptcharttwovar1">OFFSET('[1]10-Trend Analysis-Dept'!$D$69,0,0,1,deptyears)</definedName>
    <definedName name="deptchartvar1">OFFSET('[1]10-Trend Analysis-Dept'!$D$61,0,0,1,deptyears)</definedName>
    <definedName name="deptchartvar2">OFFSET('[1]10-Trend Analysis-Dept'!$D$62,0,0,1,deptyears)</definedName>
    <definedName name="exps1">OFFSET('[1]5-Sensitivity Analysis'!$E$86,0,0,1,yearend)</definedName>
    <definedName name="fbapct">OFFSET('[1]5-Sensitivity Analysis'!$E$106,0,0,1,yearend)</definedName>
    <definedName name="NEGATIVE">OFFSET('[1]5-Sensitivity Analysis'!$E$105,0,0,1,yearend)</definedName>
    <definedName name="POSITIVE">OFFSET('[1]5-Sensitivity Analysis'!$E$104,0,0,1,yearend)</definedName>
    <definedName name="_xlnm.Print_Area" localSheetId="0">'1-Instructions'!$B$1:$B$49</definedName>
    <definedName name="_xlnm.Print_Titles" localSheetId="1">'2-Data Input &amp; Assumptions'!$1:$4</definedName>
    <definedName name="revs1">OFFSET('[1]5-Sensitivity Analysis'!$E$84,0,0,1,yearend)</definedName>
    <definedName name="shortfall">OFFSET('[1]5-Sensitivity Analysis'!$E$90,0,0,1,yearend)</definedName>
    <definedName name="trendchartchained">OFFSET('[1]9-Trend Analysis-Acct Type'!$D$65,0,0,1,trendyears)</definedName>
    <definedName name="trendchartnominal">OFFSET('[1]9-Trend Analysis-Acct Type'!$D$64,0,0,1,trendyears)</definedName>
    <definedName name="trendchartpc1">OFFSET('[1]9-Trend Analysis-Acct Type'!$D$71,0,0,1,trendyears)</definedName>
    <definedName name="trendchartpc2">OFFSET('[1]9-Trend Analysis-Acct Type'!$D$72,0,0,1,trendyears)</definedName>
    <definedName name="trendcharttwovar1">OFFSET('[1]9-Trend Analysis-Acct Type'!$D$68,0,0,1,trendyears)</definedName>
    <definedName name="trendchartvar1">OFFSET('[1]9-Trend Analysis-Acct Type'!$D$61,0,0,1,trendyears)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55" i="3" l="1"/>
  <c r="H256" i="3" s="1"/>
  <c r="H236" i="3"/>
  <c r="H254" i="3"/>
  <c r="H253" i="3"/>
  <c r="H252" i="3"/>
  <c r="H251" i="3"/>
  <c r="H250" i="3"/>
  <c r="H249" i="3"/>
  <c r="H248" i="3"/>
  <c r="H247" i="3"/>
  <c r="H246" i="3"/>
  <c r="H245" i="3"/>
  <c r="H244" i="3"/>
  <c r="H243" i="3"/>
  <c r="H242" i="3"/>
  <c r="H241" i="3"/>
  <c r="H240" i="3"/>
  <c r="H239" i="3"/>
  <c r="H238" i="3"/>
  <c r="H235" i="3"/>
  <c r="H234" i="3"/>
  <c r="H233" i="3"/>
  <c r="H232" i="3"/>
  <c r="H231" i="3"/>
  <c r="H230" i="3"/>
  <c r="H229" i="3"/>
  <c r="H228" i="3"/>
  <c r="H227" i="3"/>
  <c r="H226" i="3"/>
  <c r="H225" i="3"/>
  <c r="H224" i="3"/>
  <c r="H223" i="3"/>
  <c r="H222" i="3"/>
  <c r="H221" i="3"/>
  <c r="H220" i="3"/>
  <c r="H219" i="3"/>
  <c r="E188" i="3" l="1"/>
  <c r="D188" i="3"/>
  <c r="F20" i="3" l="1"/>
  <c r="I20" i="3"/>
  <c r="J20" i="3"/>
  <c r="K20" i="3"/>
  <c r="L20" i="3"/>
  <c r="M20" i="3"/>
  <c r="N20" i="3"/>
  <c r="M61" i="3"/>
  <c r="L61" i="3"/>
  <c r="K61" i="3"/>
  <c r="J61" i="3"/>
  <c r="I61" i="3"/>
  <c r="H61" i="3"/>
  <c r="F61" i="3"/>
  <c r="E61" i="3"/>
  <c r="D61" i="3"/>
  <c r="C61" i="3"/>
  <c r="D20" i="3"/>
  <c r="C20" i="3"/>
  <c r="N58" i="3" l="1"/>
  <c r="A212" i="3" l="1"/>
  <c r="A211" i="3"/>
  <c r="A210" i="3"/>
  <c r="A209" i="3"/>
  <c r="A208" i="3"/>
  <c r="A207" i="3"/>
  <c r="A206" i="3"/>
  <c r="A205" i="3"/>
  <c r="A204" i="3"/>
  <c r="A203" i="3"/>
  <c r="A202" i="3"/>
  <c r="A201" i="3"/>
  <c r="A200" i="3"/>
  <c r="A199" i="3"/>
  <c r="A198" i="3"/>
  <c r="A197" i="3"/>
  <c r="A196" i="3"/>
  <c r="A193" i="3"/>
  <c r="A192" i="3"/>
  <c r="A191" i="3"/>
  <c r="A190" i="3"/>
  <c r="A189" i="3"/>
  <c r="A188" i="3"/>
  <c r="A187" i="3"/>
  <c r="A186" i="3"/>
  <c r="A185" i="3"/>
  <c r="A184" i="3"/>
  <c r="A183" i="3"/>
  <c r="A182" i="3"/>
  <c r="A181" i="3"/>
  <c r="A180" i="3"/>
  <c r="A179" i="3"/>
  <c r="A178" i="3"/>
  <c r="A177" i="3"/>
  <c r="S77" i="2" l="1"/>
  <c r="R77" i="2"/>
  <c r="Q77" i="2"/>
  <c r="A1" i="2" l="1"/>
  <c r="H112" i="3"/>
  <c r="H196" i="3" s="1"/>
  <c r="V65" i="2" s="1"/>
  <c r="O90" i="3"/>
  <c r="N91" i="3"/>
  <c r="N113" i="3" s="1"/>
  <c r="N197" i="3" s="1"/>
  <c r="AB66" i="2" s="1"/>
  <c r="M91" i="3"/>
  <c r="M113" i="3" s="1"/>
  <c r="M197" i="3" s="1"/>
  <c r="AA66" i="2" s="1"/>
  <c r="L91" i="3"/>
  <c r="L113" i="3" s="1"/>
  <c r="L197" i="3" s="1"/>
  <c r="Z66" i="2" s="1"/>
  <c r="K91" i="3"/>
  <c r="K113" i="3" s="1"/>
  <c r="K197" i="3" s="1"/>
  <c r="Y66" i="2" s="1"/>
  <c r="J91" i="3"/>
  <c r="J113" i="3" s="1"/>
  <c r="J197" i="3" s="1"/>
  <c r="X66" i="2" s="1"/>
  <c r="I91" i="3"/>
  <c r="I113" i="3" s="1"/>
  <c r="I197" i="3" s="1"/>
  <c r="W66" i="2" s="1"/>
  <c r="H91" i="3"/>
  <c r="H113" i="3" s="1"/>
  <c r="H197" i="3" s="1"/>
  <c r="V66" i="2" s="1"/>
  <c r="G91" i="3"/>
  <c r="G113" i="3" s="1"/>
  <c r="G197" i="3" s="1"/>
  <c r="U66" i="2" s="1"/>
  <c r="F91" i="3"/>
  <c r="F113" i="3" s="1"/>
  <c r="F197" i="3" s="1"/>
  <c r="T66" i="2" s="1"/>
  <c r="E91" i="3"/>
  <c r="E113" i="3" s="1"/>
  <c r="E197" i="3" s="1"/>
  <c r="S66" i="2" s="1"/>
  <c r="D91" i="3"/>
  <c r="D113" i="3" s="1"/>
  <c r="D197" i="3" s="1"/>
  <c r="R66" i="2" s="1"/>
  <c r="C91" i="3"/>
  <c r="C113" i="3" s="1"/>
  <c r="C197" i="3" s="1"/>
  <c r="G81" i="2"/>
  <c r="F81" i="2"/>
  <c r="E81" i="2"/>
  <c r="D81" i="2"/>
  <c r="G80" i="2"/>
  <c r="F80" i="2"/>
  <c r="E80" i="2"/>
  <c r="D80" i="2"/>
  <c r="K79" i="2"/>
  <c r="G79" i="2"/>
  <c r="F79" i="2"/>
  <c r="E79" i="2"/>
  <c r="D79" i="2"/>
  <c r="I78" i="2"/>
  <c r="G78" i="2"/>
  <c r="F78" i="2"/>
  <c r="E78" i="2"/>
  <c r="D78" i="2"/>
  <c r="G77" i="2"/>
  <c r="AE77" i="2" s="1"/>
  <c r="F77" i="2"/>
  <c r="AD77" i="2" s="1"/>
  <c r="E77" i="2"/>
  <c r="AC77" i="2" s="1"/>
  <c r="D77" i="2"/>
  <c r="G76" i="2"/>
  <c r="F76" i="2"/>
  <c r="E76" i="2"/>
  <c r="D76" i="2"/>
  <c r="P75" i="2"/>
  <c r="O75" i="2"/>
  <c r="N75" i="2"/>
  <c r="M75" i="2"/>
  <c r="L75" i="2"/>
  <c r="K75" i="2"/>
  <c r="J75" i="2"/>
  <c r="I75" i="2"/>
  <c r="H75" i="2"/>
  <c r="G75" i="2"/>
  <c r="F75" i="2"/>
  <c r="E75" i="2"/>
  <c r="D75" i="2"/>
  <c r="G74" i="2"/>
  <c r="F74" i="2"/>
  <c r="E74" i="2"/>
  <c r="D74" i="2"/>
  <c r="G63" i="2"/>
  <c r="F63" i="2"/>
  <c r="E63" i="2"/>
  <c r="D63" i="2"/>
  <c r="I62" i="2"/>
  <c r="H62" i="2"/>
  <c r="G62" i="2"/>
  <c r="F62" i="2"/>
  <c r="E62" i="2"/>
  <c r="D62" i="2"/>
  <c r="I61" i="2"/>
  <c r="G61" i="2"/>
  <c r="F61" i="2"/>
  <c r="E61" i="2"/>
  <c r="D61" i="2"/>
  <c r="G60" i="2"/>
  <c r="F60" i="2"/>
  <c r="E60" i="2"/>
  <c r="D60" i="2"/>
  <c r="H59" i="2"/>
  <c r="G59" i="2"/>
  <c r="F59" i="2"/>
  <c r="E59" i="2"/>
  <c r="D59" i="2"/>
  <c r="P58" i="2"/>
  <c r="O58" i="2"/>
  <c r="N58" i="2"/>
  <c r="M58" i="2"/>
  <c r="L58" i="2"/>
  <c r="K58" i="2"/>
  <c r="J58" i="2"/>
  <c r="I58" i="2"/>
  <c r="H58" i="2"/>
  <c r="G58" i="2"/>
  <c r="F58" i="2"/>
  <c r="E58" i="2"/>
  <c r="D58" i="2"/>
  <c r="P57" i="2"/>
  <c r="O57" i="2"/>
  <c r="N57" i="2"/>
  <c r="M57" i="2"/>
  <c r="L57" i="2"/>
  <c r="K57" i="2"/>
  <c r="J57" i="2"/>
  <c r="I57" i="2"/>
  <c r="H57" i="2"/>
  <c r="G57" i="2"/>
  <c r="F57" i="2"/>
  <c r="E57" i="2"/>
  <c r="D57" i="2"/>
  <c r="P56" i="2"/>
  <c r="O56" i="2"/>
  <c r="N56" i="2"/>
  <c r="M56" i="2"/>
  <c r="L56" i="2"/>
  <c r="K56" i="2"/>
  <c r="J56" i="2"/>
  <c r="I56" i="2"/>
  <c r="H56" i="2"/>
  <c r="G56" i="2"/>
  <c r="F56" i="2"/>
  <c r="E56" i="2"/>
  <c r="D56" i="2"/>
  <c r="A254" i="3"/>
  <c r="A253" i="3"/>
  <c r="A252" i="3"/>
  <c r="A251" i="3"/>
  <c r="A250" i="3"/>
  <c r="A249" i="3"/>
  <c r="A235" i="3"/>
  <c r="A234" i="3"/>
  <c r="A233" i="3"/>
  <c r="P62" i="2"/>
  <c r="O62" i="2"/>
  <c r="N62" i="2"/>
  <c r="M62" i="2"/>
  <c r="L62" i="2"/>
  <c r="K62" i="2"/>
  <c r="J62" i="2"/>
  <c r="N148" i="3"/>
  <c r="P61" i="2" s="1"/>
  <c r="M148" i="3"/>
  <c r="O61" i="2" s="1"/>
  <c r="L148" i="3"/>
  <c r="N61" i="2" s="1"/>
  <c r="K148" i="3"/>
  <c r="M61" i="2" s="1"/>
  <c r="J148" i="3"/>
  <c r="L61" i="2" s="1"/>
  <c r="I148" i="3"/>
  <c r="K61" i="2" s="1"/>
  <c r="H148" i="3"/>
  <c r="J61" i="2" s="1"/>
  <c r="G148" i="3"/>
  <c r="F148" i="3"/>
  <c r="A149" i="3"/>
  <c r="A148" i="3"/>
  <c r="N168" i="3"/>
  <c r="P80" i="2" s="1"/>
  <c r="M168" i="3"/>
  <c r="O80" i="2" s="1"/>
  <c r="L168" i="3"/>
  <c r="N80" i="2" s="1"/>
  <c r="K168" i="3"/>
  <c r="M80" i="2" s="1"/>
  <c r="J168" i="3"/>
  <c r="L80" i="2" s="1"/>
  <c r="I168" i="3"/>
  <c r="K80" i="2" s="1"/>
  <c r="H168" i="3"/>
  <c r="J80" i="2" s="1"/>
  <c r="G168" i="3"/>
  <c r="I80" i="2" s="1"/>
  <c r="F168" i="3"/>
  <c r="H80" i="2" s="1"/>
  <c r="N167" i="3"/>
  <c r="P79" i="2" s="1"/>
  <c r="M167" i="3"/>
  <c r="O79" i="2" s="1"/>
  <c r="L167" i="3"/>
  <c r="N79" i="2" s="1"/>
  <c r="K167" i="3"/>
  <c r="M79" i="2" s="1"/>
  <c r="J167" i="3"/>
  <c r="L79" i="2" s="1"/>
  <c r="I167" i="3"/>
  <c r="H167" i="3"/>
  <c r="G167" i="3"/>
  <c r="I79" i="2" s="1"/>
  <c r="F167" i="3"/>
  <c r="H79" i="2" s="1"/>
  <c r="N166" i="3"/>
  <c r="P78" i="2" s="1"/>
  <c r="M166" i="3"/>
  <c r="O78" i="2" s="1"/>
  <c r="L166" i="3"/>
  <c r="N78" i="2" s="1"/>
  <c r="K166" i="3"/>
  <c r="M78" i="2" s="1"/>
  <c r="J166" i="3"/>
  <c r="I166" i="3"/>
  <c r="K78" i="2" s="1"/>
  <c r="H166" i="3"/>
  <c r="J78" i="2" s="1"/>
  <c r="G166" i="3"/>
  <c r="F166" i="3"/>
  <c r="H78" i="2" s="1"/>
  <c r="P77" i="2"/>
  <c r="O77" i="2"/>
  <c r="N77" i="2"/>
  <c r="M77" i="2"/>
  <c r="L77" i="2"/>
  <c r="K77" i="2"/>
  <c r="I77" i="2"/>
  <c r="H77" i="2"/>
  <c r="N164" i="3"/>
  <c r="P76" i="2" s="1"/>
  <c r="M164" i="3"/>
  <c r="O76" i="2" s="1"/>
  <c r="L164" i="3"/>
  <c r="N76" i="2" s="1"/>
  <c r="K164" i="3"/>
  <c r="M76" i="2" s="1"/>
  <c r="J164" i="3"/>
  <c r="L76" i="2" s="1"/>
  <c r="I164" i="3"/>
  <c r="K76" i="2" s="1"/>
  <c r="H164" i="3"/>
  <c r="J76" i="2" s="1"/>
  <c r="G164" i="3"/>
  <c r="I76" i="2" s="1"/>
  <c r="F164" i="3"/>
  <c r="H76" i="2" s="1"/>
  <c r="A169" i="3"/>
  <c r="A168" i="3"/>
  <c r="A167" i="3"/>
  <c r="A166" i="3"/>
  <c r="A165" i="3"/>
  <c r="A164" i="3"/>
  <c r="Q66" i="2" l="1"/>
  <c r="B197" i="3"/>
  <c r="E239" i="3" s="1"/>
  <c r="C112" i="3"/>
  <c r="C196" i="3" s="1"/>
  <c r="B148" i="3"/>
  <c r="D233" i="3" s="1"/>
  <c r="N112" i="3"/>
  <c r="N196" i="3" s="1"/>
  <c r="AB65" i="2" s="1"/>
  <c r="B166" i="3"/>
  <c r="D251" i="3" s="1"/>
  <c r="B149" i="3"/>
  <c r="D234" i="3" s="1"/>
  <c r="L78" i="2"/>
  <c r="E112" i="3"/>
  <c r="E196" i="3" s="1"/>
  <c r="H61" i="2"/>
  <c r="F112" i="3"/>
  <c r="F196" i="3" s="1"/>
  <c r="T65" i="2" s="1"/>
  <c r="G112" i="3"/>
  <c r="G196" i="3" s="1"/>
  <c r="U65" i="2" s="1"/>
  <c r="I112" i="3"/>
  <c r="I196" i="3" s="1"/>
  <c r="W65" i="2" s="1"/>
  <c r="J112" i="3"/>
  <c r="J196" i="3" s="1"/>
  <c r="X65" i="2" s="1"/>
  <c r="K112" i="3"/>
  <c r="K196" i="3" s="1"/>
  <c r="Y65" i="2" s="1"/>
  <c r="B165" i="3"/>
  <c r="D250" i="3" s="1"/>
  <c r="B167" i="3"/>
  <c r="D252" i="3" s="1"/>
  <c r="L112" i="3"/>
  <c r="L196" i="3" s="1"/>
  <c r="Z65" i="2" s="1"/>
  <c r="M112" i="3"/>
  <c r="M196" i="3" s="1"/>
  <c r="AA65" i="2" s="1"/>
  <c r="J77" i="2"/>
  <c r="O91" i="3"/>
  <c r="B164" i="3"/>
  <c r="D249" i="3" s="1"/>
  <c r="B168" i="3"/>
  <c r="D253" i="3" s="1"/>
  <c r="J79" i="2"/>
  <c r="D112" i="3"/>
  <c r="D196" i="3" s="1"/>
  <c r="A128" i="3"/>
  <c r="A127" i="3"/>
  <c r="A126" i="3"/>
  <c r="A125" i="3"/>
  <c r="A124" i="3"/>
  <c r="A123" i="3"/>
  <c r="A122" i="3"/>
  <c r="A121" i="3"/>
  <c r="A120" i="3"/>
  <c r="A119" i="3"/>
  <c r="A118" i="3"/>
  <c r="A117" i="3"/>
  <c r="A116" i="3"/>
  <c r="A115" i="3"/>
  <c r="A114" i="3"/>
  <c r="A113" i="3"/>
  <c r="A109" i="3"/>
  <c r="A108" i="3"/>
  <c r="A107" i="3"/>
  <c r="A106" i="3"/>
  <c r="A105" i="3"/>
  <c r="A104" i="3"/>
  <c r="A103" i="3"/>
  <c r="A102" i="3"/>
  <c r="A101" i="3"/>
  <c r="A100" i="3"/>
  <c r="A99" i="3"/>
  <c r="A98" i="3"/>
  <c r="A97" i="3"/>
  <c r="A96" i="3"/>
  <c r="A95" i="3"/>
  <c r="A94" i="3"/>
  <c r="B85" i="3"/>
  <c r="B254" i="3" s="1"/>
  <c r="B84" i="3"/>
  <c r="B253" i="3" s="1"/>
  <c r="B83" i="3"/>
  <c r="B252" i="3" s="1"/>
  <c r="B82" i="3"/>
  <c r="B251" i="3" s="1"/>
  <c r="B81" i="3"/>
  <c r="B250" i="3" s="1"/>
  <c r="B80" i="3"/>
  <c r="B249" i="3" s="1"/>
  <c r="A85" i="3"/>
  <c r="A84" i="3"/>
  <c r="A83" i="3"/>
  <c r="A82" i="3"/>
  <c r="A81" i="3"/>
  <c r="A80" i="3"/>
  <c r="B66" i="3"/>
  <c r="B235" i="3" s="1"/>
  <c r="A66" i="3"/>
  <c r="B65" i="3"/>
  <c r="B234" i="3" s="1"/>
  <c r="A65" i="3"/>
  <c r="B64" i="3"/>
  <c r="A64" i="3"/>
  <c r="B63" i="3"/>
  <c r="A63" i="3"/>
  <c r="B62" i="3"/>
  <c r="A62" i="3"/>
  <c r="B44" i="3"/>
  <c r="C254" i="3" s="1"/>
  <c r="B43" i="3"/>
  <c r="C253" i="3" s="1"/>
  <c r="B42" i="3"/>
  <c r="C252" i="3" s="1"/>
  <c r="B41" i="3"/>
  <c r="C251" i="3" s="1"/>
  <c r="B40" i="3"/>
  <c r="C250" i="3" s="1"/>
  <c r="B39" i="3"/>
  <c r="C249" i="3" s="1"/>
  <c r="B24" i="3"/>
  <c r="C234" i="3" s="1"/>
  <c r="B23" i="3"/>
  <c r="C233" i="3" s="1"/>
  <c r="S65" i="2" l="1"/>
  <c r="Q65" i="2"/>
  <c r="B196" i="3"/>
  <c r="E238" i="3" s="1"/>
  <c r="R65" i="2"/>
  <c r="I124" i="3"/>
  <c r="I208" i="3" s="1"/>
  <c r="I125" i="3"/>
  <c r="I209" i="3" s="1"/>
  <c r="W78" i="2" s="1"/>
  <c r="AI78" i="2" s="1"/>
  <c r="J125" i="3"/>
  <c r="J209" i="3" s="1"/>
  <c r="X78" i="2" s="1"/>
  <c r="AJ78" i="2" s="1"/>
  <c r="E108" i="3"/>
  <c r="E192" i="3" s="1"/>
  <c r="S62" i="2" s="1"/>
  <c r="AE62" i="2" s="1"/>
  <c r="I126" i="3"/>
  <c r="I210" i="3" s="1"/>
  <c r="W79" i="2" s="1"/>
  <c r="AI79" i="2" s="1"/>
  <c r="J126" i="3"/>
  <c r="J210" i="3" s="1"/>
  <c r="X79" i="2" s="1"/>
  <c r="AJ79" i="2" s="1"/>
  <c r="I127" i="3"/>
  <c r="I211" i="3" s="1"/>
  <c r="W80" i="2" s="1"/>
  <c r="AI80" i="2" s="1"/>
  <c r="J127" i="3"/>
  <c r="J211" i="3" s="1"/>
  <c r="X80" i="2" s="1"/>
  <c r="AJ80" i="2" s="1"/>
  <c r="K125" i="3"/>
  <c r="K209" i="3" s="1"/>
  <c r="Y78" i="2" s="1"/>
  <c r="AK78" i="2" s="1"/>
  <c r="K127" i="3"/>
  <c r="K211" i="3" s="1"/>
  <c r="Y80" i="2" s="1"/>
  <c r="AK80" i="2" s="1"/>
  <c r="H108" i="3"/>
  <c r="H192" i="3" s="1"/>
  <c r="V62" i="2" s="1"/>
  <c r="AH62" i="2" s="1"/>
  <c r="L123" i="3"/>
  <c r="L207" i="3" s="1"/>
  <c r="Z76" i="2" s="1"/>
  <c r="AL76" i="2" s="1"/>
  <c r="L124" i="3"/>
  <c r="L208" i="3" s="1"/>
  <c r="L125" i="3"/>
  <c r="L209" i="3" s="1"/>
  <c r="Z78" i="2" s="1"/>
  <c r="AL78" i="2" s="1"/>
  <c r="L126" i="3"/>
  <c r="L210" i="3" s="1"/>
  <c r="Z79" i="2" s="1"/>
  <c r="AL79" i="2" s="1"/>
  <c r="L127" i="3"/>
  <c r="L211" i="3" s="1"/>
  <c r="Z80" i="2" s="1"/>
  <c r="AL80" i="2" s="1"/>
  <c r="K123" i="3"/>
  <c r="K207" i="3" s="1"/>
  <c r="Y76" i="2" s="1"/>
  <c r="AK76" i="2" s="1"/>
  <c r="K124" i="3"/>
  <c r="K208" i="3" s="1"/>
  <c r="K126" i="3"/>
  <c r="K210" i="3" s="1"/>
  <c r="Y79" i="2" s="1"/>
  <c r="AK79" i="2" s="1"/>
  <c r="I108" i="3"/>
  <c r="I192" i="3" s="1"/>
  <c r="W62" i="2" s="1"/>
  <c r="AI62" i="2" s="1"/>
  <c r="M123" i="3"/>
  <c r="M207" i="3" s="1"/>
  <c r="AA76" i="2" s="1"/>
  <c r="AM76" i="2" s="1"/>
  <c r="M124" i="3"/>
  <c r="M208" i="3" s="1"/>
  <c r="M125" i="3"/>
  <c r="M209" i="3" s="1"/>
  <c r="AA78" i="2" s="1"/>
  <c r="AM78" i="2" s="1"/>
  <c r="M126" i="3"/>
  <c r="M210" i="3" s="1"/>
  <c r="AA79" i="2" s="1"/>
  <c r="AM79" i="2" s="1"/>
  <c r="M127" i="3"/>
  <c r="M211" i="3" s="1"/>
  <c r="AA80" i="2" s="1"/>
  <c r="AM80" i="2" s="1"/>
  <c r="J123" i="3"/>
  <c r="J207" i="3" s="1"/>
  <c r="X76" i="2" s="1"/>
  <c r="AJ76" i="2" s="1"/>
  <c r="J108" i="3"/>
  <c r="J192" i="3" s="1"/>
  <c r="X62" i="2" s="1"/>
  <c r="AJ62" i="2" s="1"/>
  <c r="N123" i="3"/>
  <c r="N207" i="3" s="1"/>
  <c r="AB76" i="2" s="1"/>
  <c r="AN76" i="2" s="1"/>
  <c r="N124" i="3"/>
  <c r="N208" i="3" s="1"/>
  <c r="N125" i="3"/>
  <c r="N209" i="3" s="1"/>
  <c r="AB78" i="2" s="1"/>
  <c r="AN78" i="2" s="1"/>
  <c r="N126" i="3"/>
  <c r="N210" i="3" s="1"/>
  <c r="AB79" i="2" s="1"/>
  <c r="AN79" i="2" s="1"/>
  <c r="N127" i="3"/>
  <c r="N211" i="3" s="1"/>
  <c r="AB80" i="2" s="1"/>
  <c r="AN80" i="2" s="1"/>
  <c r="C123" i="3"/>
  <c r="C207" i="3" s="1"/>
  <c r="C126" i="3"/>
  <c r="C210" i="3" s="1"/>
  <c r="L108" i="3"/>
  <c r="L192" i="3" s="1"/>
  <c r="Z62" i="2" s="1"/>
  <c r="AL62" i="2" s="1"/>
  <c r="D123" i="3"/>
  <c r="D207" i="3" s="1"/>
  <c r="R76" i="2" s="1"/>
  <c r="AD76" i="2" s="1"/>
  <c r="D124" i="3"/>
  <c r="D125" i="3"/>
  <c r="D209" i="3" s="1"/>
  <c r="R78" i="2" s="1"/>
  <c r="AD78" i="2" s="1"/>
  <c r="D126" i="3"/>
  <c r="D210" i="3" s="1"/>
  <c r="R79" i="2" s="1"/>
  <c r="AD79" i="2" s="1"/>
  <c r="D127" i="3"/>
  <c r="D211" i="3" s="1"/>
  <c r="R80" i="2" s="1"/>
  <c r="AD80" i="2" s="1"/>
  <c r="L107" i="3"/>
  <c r="L191" i="3" s="1"/>
  <c r="Z61" i="2" s="1"/>
  <c r="AL61" i="2" s="1"/>
  <c r="B233" i="3"/>
  <c r="C125" i="3"/>
  <c r="C209" i="3" s="1"/>
  <c r="C127" i="3"/>
  <c r="C211" i="3" s="1"/>
  <c r="M108" i="3"/>
  <c r="M192" i="3" s="1"/>
  <c r="AA62" i="2" s="1"/>
  <c r="AM62" i="2" s="1"/>
  <c r="E123" i="3"/>
  <c r="E207" i="3" s="1"/>
  <c r="S76" i="2" s="1"/>
  <c r="AE76" i="2" s="1"/>
  <c r="E124" i="3"/>
  <c r="E125" i="3"/>
  <c r="E209" i="3" s="1"/>
  <c r="S78" i="2" s="1"/>
  <c r="AE78" i="2" s="1"/>
  <c r="E126" i="3"/>
  <c r="E210" i="3" s="1"/>
  <c r="S79" i="2" s="1"/>
  <c r="AE79" i="2" s="1"/>
  <c r="E127" i="3"/>
  <c r="E211" i="3" s="1"/>
  <c r="S80" i="2" s="1"/>
  <c r="AE80" i="2" s="1"/>
  <c r="I123" i="3"/>
  <c r="I207" i="3" s="1"/>
  <c r="W76" i="2" s="1"/>
  <c r="AI76" i="2" s="1"/>
  <c r="J124" i="3"/>
  <c r="J208" i="3" s="1"/>
  <c r="F123" i="3"/>
  <c r="F207" i="3" s="1"/>
  <c r="T76" i="2" s="1"/>
  <c r="AF76" i="2" s="1"/>
  <c r="F124" i="3"/>
  <c r="F208" i="3" s="1"/>
  <c r="F125" i="3"/>
  <c r="F209" i="3" s="1"/>
  <c r="T78" i="2" s="1"/>
  <c r="AF78" i="2" s="1"/>
  <c r="F126" i="3"/>
  <c r="F210" i="3" s="1"/>
  <c r="T79" i="2" s="1"/>
  <c r="AF79" i="2" s="1"/>
  <c r="F127" i="3"/>
  <c r="F211" i="3" s="1"/>
  <c r="T80" i="2" s="1"/>
  <c r="AF80" i="2" s="1"/>
  <c r="G108" i="3"/>
  <c r="G192" i="3" s="1"/>
  <c r="U62" i="2" s="1"/>
  <c r="AG62" i="2" s="1"/>
  <c r="K108" i="3"/>
  <c r="K192" i="3" s="1"/>
  <c r="Y62" i="2" s="1"/>
  <c r="AK62" i="2" s="1"/>
  <c r="C124" i="3"/>
  <c r="N108" i="3"/>
  <c r="N192" i="3" s="1"/>
  <c r="AB62" i="2" s="1"/>
  <c r="AN62" i="2" s="1"/>
  <c r="C108" i="3"/>
  <c r="C192" i="3" s="1"/>
  <c r="G123" i="3"/>
  <c r="G207" i="3" s="1"/>
  <c r="U76" i="2" s="1"/>
  <c r="AG76" i="2" s="1"/>
  <c r="G124" i="3"/>
  <c r="G208" i="3" s="1"/>
  <c r="G125" i="3"/>
  <c r="G209" i="3" s="1"/>
  <c r="U78" i="2" s="1"/>
  <c r="AG78" i="2" s="1"/>
  <c r="G126" i="3"/>
  <c r="G210" i="3" s="1"/>
  <c r="U79" i="2" s="1"/>
  <c r="AG79" i="2" s="1"/>
  <c r="G127" i="3"/>
  <c r="G211" i="3" s="1"/>
  <c r="U80" i="2" s="1"/>
  <c r="AG80" i="2" s="1"/>
  <c r="F108" i="3"/>
  <c r="F192" i="3" s="1"/>
  <c r="T62" i="2" s="1"/>
  <c r="AF62" i="2" s="1"/>
  <c r="M107" i="3"/>
  <c r="M191" i="3" s="1"/>
  <c r="AA61" i="2" s="1"/>
  <c r="AM61" i="2" s="1"/>
  <c r="D108" i="3"/>
  <c r="D192" i="3" s="1"/>
  <c r="R62" i="2" s="1"/>
  <c r="AD62" i="2" s="1"/>
  <c r="H123" i="3"/>
  <c r="H207" i="3" s="1"/>
  <c r="V76" i="2" s="1"/>
  <c r="AH76" i="2" s="1"/>
  <c r="H124" i="3"/>
  <c r="H208" i="3" s="1"/>
  <c r="H125" i="3"/>
  <c r="H209" i="3" s="1"/>
  <c r="V78" i="2" s="1"/>
  <c r="AH78" i="2" s="1"/>
  <c r="H126" i="3"/>
  <c r="H210" i="3" s="1"/>
  <c r="V79" i="2" s="1"/>
  <c r="AH79" i="2" s="1"/>
  <c r="H127" i="3"/>
  <c r="H211" i="3" s="1"/>
  <c r="V80" i="2" s="1"/>
  <c r="AH80" i="2" s="1"/>
  <c r="N107" i="3"/>
  <c r="N191" i="3" s="1"/>
  <c r="AB61" i="2" s="1"/>
  <c r="AN61" i="2" s="1"/>
  <c r="C107" i="3"/>
  <c r="C191" i="3" s="1"/>
  <c r="D107" i="3"/>
  <c r="D191" i="3" s="1"/>
  <c r="R61" i="2" s="1"/>
  <c r="AD61" i="2" s="1"/>
  <c r="E107" i="3"/>
  <c r="E191" i="3" s="1"/>
  <c r="S61" i="2" s="1"/>
  <c r="AE61" i="2" s="1"/>
  <c r="F107" i="3"/>
  <c r="F191" i="3" s="1"/>
  <c r="T61" i="2" s="1"/>
  <c r="AF61" i="2" s="1"/>
  <c r="G107" i="3"/>
  <c r="G191" i="3" s="1"/>
  <c r="U61" i="2" s="1"/>
  <c r="AG61" i="2" s="1"/>
  <c r="H107" i="3"/>
  <c r="H191" i="3" s="1"/>
  <c r="V61" i="2" s="1"/>
  <c r="AH61" i="2" s="1"/>
  <c r="I107" i="3"/>
  <c r="I191" i="3" s="1"/>
  <c r="W61" i="2" s="1"/>
  <c r="AI61" i="2" s="1"/>
  <c r="J107" i="3"/>
  <c r="J191" i="3" s="1"/>
  <c r="X61" i="2" s="1"/>
  <c r="AJ61" i="2" s="1"/>
  <c r="K107" i="3"/>
  <c r="K191" i="3" s="1"/>
  <c r="Y61" i="2" s="1"/>
  <c r="AK61" i="2" s="1"/>
  <c r="D21" i="3"/>
  <c r="C21" i="3"/>
  <c r="B210" i="3" l="1"/>
  <c r="E252" i="3" s="1"/>
  <c r="F252" i="3" s="1"/>
  <c r="Q79" i="2"/>
  <c r="AC79" i="2" s="1"/>
  <c r="B209" i="3"/>
  <c r="E251" i="3" s="1"/>
  <c r="F251" i="3" s="1"/>
  <c r="Q78" i="2"/>
  <c r="AC78" i="2" s="1"/>
  <c r="Q80" i="2"/>
  <c r="AC80" i="2" s="1"/>
  <c r="B211" i="3"/>
  <c r="E253" i="3" s="1"/>
  <c r="F253" i="3" s="1"/>
  <c r="B207" i="3"/>
  <c r="E249" i="3" s="1"/>
  <c r="F249" i="3" s="1"/>
  <c r="Q76" i="2"/>
  <c r="AC76" i="2" s="1"/>
  <c r="B191" i="3"/>
  <c r="E233" i="3" s="1"/>
  <c r="F233" i="3" s="1"/>
  <c r="Q61" i="2"/>
  <c r="AC61" i="2" s="1"/>
  <c r="B192" i="3"/>
  <c r="E234" i="3" s="1"/>
  <c r="F234" i="3" s="1"/>
  <c r="Q62" i="2"/>
  <c r="AC62" i="2" s="1"/>
  <c r="V77" i="2"/>
  <c r="AH77" i="2" s="1"/>
  <c r="X77" i="2"/>
  <c r="AJ77" i="2" s="1"/>
  <c r="B208" i="3"/>
  <c r="T77" i="2"/>
  <c r="AF77" i="2" s="1"/>
  <c r="AA77" i="2"/>
  <c r="AM77" i="2" s="1"/>
  <c r="Y77" i="2"/>
  <c r="AK77" i="2" s="1"/>
  <c r="U77" i="2"/>
  <c r="AG77" i="2" s="1"/>
  <c r="AB77" i="2"/>
  <c r="AN77" i="2" s="1"/>
  <c r="Z77" i="2"/>
  <c r="AL77" i="2" s="1"/>
  <c r="W77" i="2"/>
  <c r="AI77" i="2" s="1"/>
  <c r="M147" i="3"/>
  <c r="O60" i="2" s="1"/>
  <c r="N147" i="3"/>
  <c r="P60" i="2" s="1"/>
  <c r="L147" i="3"/>
  <c r="N60" i="2" s="1"/>
  <c r="K147" i="3"/>
  <c r="M60" i="2" s="1"/>
  <c r="J147" i="3"/>
  <c r="L60" i="2" s="1"/>
  <c r="F147" i="3"/>
  <c r="H60" i="2" s="1"/>
  <c r="E250" i="3" l="1"/>
  <c r="G140" i="3"/>
  <c r="H140" i="3"/>
  <c r="I140" i="3"/>
  <c r="J140" i="3"/>
  <c r="K140" i="3"/>
  <c r="L140" i="3"/>
  <c r="M140" i="3"/>
  <c r="N140" i="3"/>
  <c r="F140" i="3"/>
  <c r="N169" i="3"/>
  <c r="P81" i="2" s="1"/>
  <c r="M169" i="3"/>
  <c r="O81" i="2" s="1"/>
  <c r="L169" i="3"/>
  <c r="N81" i="2" s="1"/>
  <c r="K169" i="3"/>
  <c r="M81" i="2" s="1"/>
  <c r="J169" i="3"/>
  <c r="L81" i="2" s="1"/>
  <c r="I169" i="3"/>
  <c r="K81" i="2" s="1"/>
  <c r="H169" i="3"/>
  <c r="J81" i="2" s="1"/>
  <c r="G169" i="3"/>
  <c r="I81" i="2" s="1"/>
  <c r="F169" i="3"/>
  <c r="N162" i="3"/>
  <c r="P74" i="2" s="1"/>
  <c r="M162" i="3"/>
  <c r="O74" i="2" s="1"/>
  <c r="L162" i="3"/>
  <c r="N74" i="2" s="1"/>
  <c r="K162" i="3"/>
  <c r="M74" i="2" s="1"/>
  <c r="J162" i="3"/>
  <c r="L74" i="2" s="1"/>
  <c r="I162" i="3"/>
  <c r="K74" i="2" s="1"/>
  <c r="H162" i="3"/>
  <c r="J74" i="2" s="1"/>
  <c r="G162" i="3"/>
  <c r="I74" i="2" s="1"/>
  <c r="F162" i="3"/>
  <c r="H74" i="2" s="1"/>
  <c r="M158" i="3"/>
  <c r="H158" i="3"/>
  <c r="G155" i="3"/>
  <c r="H155" i="3"/>
  <c r="I155" i="3"/>
  <c r="J155" i="3"/>
  <c r="K155" i="3"/>
  <c r="L155" i="3"/>
  <c r="M155" i="3"/>
  <c r="N155" i="3"/>
  <c r="F155" i="3"/>
  <c r="I63" i="2"/>
  <c r="J63" i="2"/>
  <c r="K63" i="2"/>
  <c r="L63" i="2"/>
  <c r="M63" i="2"/>
  <c r="N63" i="2"/>
  <c r="O63" i="2"/>
  <c r="P63" i="2"/>
  <c r="H63" i="2"/>
  <c r="M137" i="3"/>
  <c r="H137" i="3"/>
  <c r="I147" i="3"/>
  <c r="K60" i="2" s="1"/>
  <c r="H147" i="3"/>
  <c r="J60" i="2" s="1"/>
  <c r="G147" i="3"/>
  <c r="I60" i="2" s="1"/>
  <c r="F250" i="3" l="1"/>
  <c r="H81" i="2"/>
  <c r="B169" i="3"/>
  <c r="D254" i="3" s="1"/>
  <c r="H146" i="3"/>
  <c r="J59" i="2" s="1"/>
  <c r="I146" i="3"/>
  <c r="K59" i="2" s="1"/>
  <c r="J146" i="3"/>
  <c r="L59" i="2" s="1"/>
  <c r="K146" i="3"/>
  <c r="M59" i="2" s="1"/>
  <c r="L146" i="3"/>
  <c r="N59" i="2" s="1"/>
  <c r="M146" i="3"/>
  <c r="O59" i="2" s="1"/>
  <c r="N146" i="3"/>
  <c r="P59" i="2" s="1"/>
  <c r="G146" i="3"/>
  <c r="I59" i="2" s="1"/>
  <c r="B162" i="3" l="1"/>
  <c r="B163" i="3"/>
  <c r="N158" i="3" l="1"/>
  <c r="L158" i="3"/>
  <c r="K158" i="3"/>
  <c r="J158" i="3"/>
  <c r="I158" i="3"/>
  <c r="G158" i="3"/>
  <c r="F158" i="3"/>
  <c r="F154" i="3"/>
  <c r="N154" i="3" s="1"/>
  <c r="F153" i="3"/>
  <c r="J153" i="3" s="1"/>
  <c r="N137" i="3"/>
  <c r="L137" i="3"/>
  <c r="K137" i="3"/>
  <c r="J137" i="3"/>
  <c r="I137" i="3"/>
  <c r="G137" i="3"/>
  <c r="F137" i="3"/>
  <c r="G153" i="3" l="1"/>
  <c r="L153" i="3" s="1"/>
  <c r="M153" i="3"/>
  <c r="H153" i="3"/>
  <c r="I153" i="3"/>
  <c r="N153" i="3"/>
  <c r="M154" i="3"/>
  <c r="H154" i="3"/>
  <c r="K154" i="3"/>
  <c r="J154" i="3"/>
  <c r="I154" i="3"/>
  <c r="K153" i="3"/>
  <c r="G154" i="3"/>
  <c r="L154" i="3" s="1"/>
  <c r="E134" i="3"/>
  <c r="D134" i="3"/>
  <c r="C134" i="3"/>
  <c r="I28" i="3" l="1"/>
  <c r="N9" i="3"/>
  <c r="N134" i="3" s="1"/>
  <c r="M9" i="3"/>
  <c r="M134" i="3" s="1"/>
  <c r="L9" i="3"/>
  <c r="L134" i="3" s="1"/>
  <c r="K9" i="3"/>
  <c r="K134" i="3" s="1"/>
  <c r="J9" i="3"/>
  <c r="J134" i="3" s="1"/>
  <c r="I9" i="3"/>
  <c r="I134" i="3" s="1"/>
  <c r="H9" i="3"/>
  <c r="H134" i="3" s="1"/>
  <c r="G9" i="3"/>
  <c r="G134" i="3" s="1"/>
  <c r="F9" i="3"/>
  <c r="F134" i="3" s="1"/>
  <c r="E9" i="3"/>
  <c r="D9" i="3"/>
  <c r="C9" i="3"/>
  <c r="B134" i="3" l="1"/>
  <c r="I73" i="2"/>
  <c r="H73" i="2"/>
  <c r="G73" i="2"/>
  <c r="F73" i="2"/>
  <c r="E73" i="2"/>
  <c r="D73" i="2"/>
  <c r="D248" i="3" l="1"/>
  <c r="A248" i="3"/>
  <c r="D247" i="3"/>
  <c r="A247" i="3"/>
  <c r="A246" i="3"/>
  <c r="A245" i="3"/>
  <c r="A163" i="3"/>
  <c r="A162" i="3"/>
  <c r="A161" i="3"/>
  <c r="B79" i="3"/>
  <c r="B248" i="3" s="1"/>
  <c r="A79" i="3"/>
  <c r="B78" i="3"/>
  <c r="A78" i="3"/>
  <c r="B77" i="3"/>
  <c r="B246" i="3" s="1"/>
  <c r="A77" i="3"/>
  <c r="B76" i="3"/>
  <c r="B245" i="3" s="1"/>
  <c r="A76" i="3"/>
  <c r="B38" i="3"/>
  <c r="B37" i="3"/>
  <c r="B36" i="3"/>
  <c r="A150" i="3"/>
  <c r="B25" i="3"/>
  <c r="I121" i="3" l="1"/>
  <c r="I205" i="3" s="1"/>
  <c r="W74" i="2" s="1"/>
  <c r="AI74" i="2" s="1"/>
  <c r="H121" i="3"/>
  <c r="H205" i="3" s="1"/>
  <c r="V74" i="2" s="1"/>
  <c r="AH74" i="2" s="1"/>
  <c r="K121" i="3"/>
  <c r="K205" i="3" s="1"/>
  <c r="Y74" i="2" s="1"/>
  <c r="AK74" i="2" s="1"/>
  <c r="G121" i="3"/>
  <c r="G205" i="3" s="1"/>
  <c r="U74" i="2" s="1"/>
  <c r="AG74" i="2" s="1"/>
  <c r="F121" i="3"/>
  <c r="F205" i="3" s="1"/>
  <c r="T74" i="2" s="1"/>
  <c r="AF74" i="2" s="1"/>
  <c r="E121" i="3"/>
  <c r="E205" i="3" s="1"/>
  <c r="S74" i="2" s="1"/>
  <c r="AE74" i="2" s="1"/>
  <c r="D121" i="3"/>
  <c r="D205" i="3" s="1"/>
  <c r="R74" i="2" s="1"/>
  <c r="AD74" i="2" s="1"/>
  <c r="C121" i="3"/>
  <c r="C205" i="3" s="1"/>
  <c r="J121" i="3"/>
  <c r="J205" i="3" s="1"/>
  <c r="X74" i="2" s="1"/>
  <c r="AJ74" i="2" s="1"/>
  <c r="N121" i="3"/>
  <c r="N205" i="3" s="1"/>
  <c r="AB74" i="2" s="1"/>
  <c r="AN74" i="2" s="1"/>
  <c r="M121" i="3"/>
  <c r="M205" i="3" s="1"/>
  <c r="AA74" i="2" s="1"/>
  <c r="AM74" i="2" s="1"/>
  <c r="L121" i="3"/>
  <c r="L205" i="3" s="1"/>
  <c r="Z74" i="2" s="1"/>
  <c r="AL74" i="2" s="1"/>
  <c r="C235" i="3"/>
  <c r="D109" i="3"/>
  <c r="D193" i="3" s="1"/>
  <c r="R63" i="2" s="1"/>
  <c r="AD63" i="2" s="1"/>
  <c r="C109" i="3"/>
  <c r="C193" i="3" s="1"/>
  <c r="E109" i="3"/>
  <c r="E193" i="3" s="1"/>
  <c r="S63" i="2" s="1"/>
  <c r="AE63" i="2" s="1"/>
  <c r="N109" i="3"/>
  <c r="N193" i="3" s="1"/>
  <c r="AB63" i="2" s="1"/>
  <c r="AN63" i="2" s="1"/>
  <c r="M109" i="3"/>
  <c r="M193" i="3" s="1"/>
  <c r="AA63" i="2" s="1"/>
  <c r="AM63" i="2" s="1"/>
  <c r="L109" i="3"/>
  <c r="L193" i="3" s="1"/>
  <c r="Z63" i="2" s="1"/>
  <c r="AL63" i="2" s="1"/>
  <c r="K109" i="3"/>
  <c r="K193" i="3" s="1"/>
  <c r="Y63" i="2" s="1"/>
  <c r="AK63" i="2" s="1"/>
  <c r="F109" i="3"/>
  <c r="F193" i="3" s="1"/>
  <c r="T63" i="2" s="1"/>
  <c r="AF63" i="2" s="1"/>
  <c r="J109" i="3"/>
  <c r="J193" i="3" s="1"/>
  <c r="X63" i="2" s="1"/>
  <c r="AJ63" i="2" s="1"/>
  <c r="I109" i="3"/>
  <c r="I193" i="3" s="1"/>
  <c r="W63" i="2" s="1"/>
  <c r="AI63" i="2" s="1"/>
  <c r="H109" i="3"/>
  <c r="H193" i="3" s="1"/>
  <c r="V63" i="2" s="1"/>
  <c r="AH63" i="2" s="1"/>
  <c r="G109" i="3"/>
  <c r="G193" i="3" s="1"/>
  <c r="U63" i="2" s="1"/>
  <c r="AG63" i="2" s="1"/>
  <c r="C246" i="3"/>
  <c r="H120" i="3"/>
  <c r="H204" i="3" s="1"/>
  <c r="V73" i="2" s="1"/>
  <c r="J120" i="3"/>
  <c r="J204" i="3" s="1"/>
  <c r="X73" i="2" s="1"/>
  <c r="G120" i="3"/>
  <c r="G204" i="3" s="1"/>
  <c r="U73" i="2" s="1"/>
  <c r="AG73" i="2" s="1"/>
  <c r="K120" i="3"/>
  <c r="K204" i="3" s="1"/>
  <c r="Y73" i="2" s="1"/>
  <c r="I120" i="3"/>
  <c r="I204" i="3" s="1"/>
  <c r="W73" i="2" s="1"/>
  <c r="F120" i="3"/>
  <c r="F204" i="3" s="1"/>
  <c r="T73" i="2" s="1"/>
  <c r="AF73" i="2" s="1"/>
  <c r="C120" i="3"/>
  <c r="C204" i="3" s="1"/>
  <c r="E120" i="3"/>
  <c r="E204" i="3" s="1"/>
  <c r="S73" i="2" s="1"/>
  <c r="AE73" i="2" s="1"/>
  <c r="D120" i="3"/>
  <c r="D204" i="3" s="1"/>
  <c r="R73" i="2" s="1"/>
  <c r="AD73" i="2" s="1"/>
  <c r="N120" i="3"/>
  <c r="N204" i="3" s="1"/>
  <c r="AB73" i="2" s="1"/>
  <c r="M120" i="3"/>
  <c r="M204" i="3" s="1"/>
  <c r="AA73" i="2" s="1"/>
  <c r="L120" i="3"/>
  <c r="L204" i="3" s="1"/>
  <c r="Z73" i="2" s="1"/>
  <c r="H122" i="3"/>
  <c r="H206" i="3" s="1"/>
  <c r="V75" i="2" s="1"/>
  <c r="AH75" i="2" s="1"/>
  <c r="G122" i="3"/>
  <c r="G206" i="3" s="1"/>
  <c r="U75" i="2" s="1"/>
  <c r="AG75" i="2" s="1"/>
  <c r="J122" i="3"/>
  <c r="J206" i="3" s="1"/>
  <c r="X75" i="2" s="1"/>
  <c r="AJ75" i="2" s="1"/>
  <c r="F122" i="3"/>
  <c r="F206" i="3" s="1"/>
  <c r="T75" i="2" s="1"/>
  <c r="AF75" i="2" s="1"/>
  <c r="E122" i="3"/>
  <c r="E206" i="3" s="1"/>
  <c r="S75" i="2" s="1"/>
  <c r="AE75" i="2" s="1"/>
  <c r="C122" i="3"/>
  <c r="C206" i="3" s="1"/>
  <c r="D122" i="3"/>
  <c r="D206" i="3" s="1"/>
  <c r="R75" i="2" s="1"/>
  <c r="AD75" i="2" s="1"/>
  <c r="N122" i="3"/>
  <c r="N206" i="3" s="1"/>
  <c r="AB75" i="2" s="1"/>
  <c r="AN75" i="2" s="1"/>
  <c r="M122" i="3"/>
  <c r="M206" i="3" s="1"/>
  <c r="AA75" i="2" s="1"/>
  <c r="AM75" i="2" s="1"/>
  <c r="L122" i="3"/>
  <c r="L206" i="3" s="1"/>
  <c r="Z75" i="2" s="1"/>
  <c r="AL75" i="2" s="1"/>
  <c r="K122" i="3"/>
  <c r="K206" i="3" s="1"/>
  <c r="Y75" i="2" s="1"/>
  <c r="AK75" i="2" s="1"/>
  <c r="I122" i="3"/>
  <c r="I206" i="3" s="1"/>
  <c r="W75" i="2" s="1"/>
  <c r="AI75" i="2" s="1"/>
  <c r="I128" i="3"/>
  <c r="I212" i="3" s="1"/>
  <c r="W81" i="2" s="1"/>
  <c r="AI81" i="2" s="1"/>
  <c r="G128" i="3"/>
  <c r="G212" i="3" s="1"/>
  <c r="U81" i="2" s="1"/>
  <c r="AG81" i="2" s="1"/>
  <c r="H128" i="3"/>
  <c r="H212" i="3" s="1"/>
  <c r="V81" i="2" s="1"/>
  <c r="AH81" i="2" s="1"/>
  <c r="J128" i="3"/>
  <c r="J212" i="3" s="1"/>
  <c r="X81" i="2" s="1"/>
  <c r="AJ81" i="2" s="1"/>
  <c r="K128" i="3"/>
  <c r="K212" i="3" s="1"/>
  <c r="Y81" i="2" s="1"/>
  <c r="AK81" i="2" s="1"/>
  <c r="M73" i="2"/>
  <c r="AK73" i="2" s="1"/>
  <c r="N73" i="2"/>
  <c r="AL73" i="2" s="1"/>
  <c r="L128" i="3"/>
  <c r="L212" i="3" s="1"/>
  <c r="Z81" i="2" s="1"/>
  <c r="AL81" i="2" s="1"/>
  <c r="O73" i="2"/>
  <c r="AM73" i="2" s="1"/>
  <c r="M128" i="3"/>
  <c r="M212" i="3" s="1"/>
  <c r="AA81" i="2" s="1"/>
  <c r="AM81" i="2" s="1"/>
  <c r="B247" i="3"/>
  <c r="K73" i="2"/>
  <c r="L73" i="2"/>
  <c r="AJ73" i="2" s="1"/>
  <c r="N128" i="3"/>
  <c r="N212" i="3" s="1"/>
  <c r="AB81" i="2" s="1"/>
  <c r="AN81" i="2" s="1"/>
  <c r="C247" i="3"/>
  <c r="D128" i="3"/>
  <c r="D212" i="3" s="1"/>
  <c r="R81" i="2" s="1"/>
  <c r="AD81" i="2" s="1"/>
  <c r="E128" i="3"/>
  <c r="E212" i="3" s="1"/>
  <c r="S81" i="2" s="1"/>
  <c r="AE81" i="2" s="1"/>
  <c r="P73" i="2"/>
  <c r="AN73" i="2" s="1"/>
  <c r="C128" i="3"/>
  <c r="C212" i="3" s="1"/>
  <c r="F128" i="3"/>
  <c r="F212" i="3" s="1"/>
  <c r="T81" i="2" s="1"/>
  <c r="AF81" i="2" s="1"/>
  <c r="C248" i="3"/>
  <c r="B206" i="3" l="1"/>
  <c r="E248" i="3" s="1"/>
  <c r="F248" i="3" s="1"/>
  <c r="Q75" i="2"/>
  <c r="AC75" i="2" s="1"/>
  <c r="B205" i="3"/>
  <c r="E247" i="3" s="1"/>
  <c r="F247" i="3" s="1"/>
  <c r="Q74" i="2"/>
  <c r="AC74" i="2" s="1"/>
  <c r="Q73" i="2"/>
  <c r="AC73" i="2" s="1"/>
  <c r="B204" i="3"/>
  <c r="E246" i="3" s="1"/>
  <c r="Q63" i="2"/>
  <c r="AC63" i="2" s="1"/>
  <c r="B193" i="3"/>
  <c r="E235" i="3" s="1"/>
  <c r="B212" i="3"/>
  <c r="E254" i="3" s="1"/>
  <c r="F254" i="3" s="1"/>
  <c r="Q81" i="2"/>
  <c r="AC81" i="2" s="1"/>
  <c r="AI73" i="2"/>
  <c r="B161" i="3"/>
  <c r="D246" i="3" s="1"/>
  <c r="J73" i="2"/>
  <c r="AH73" i="2" s="1"/>
  <c r="B150" i="3"/>
  <c r="D235" i="3" s="1"/>
  <c r="F246" i="3" l="1"/>
  <c r="F235" i="3"/>
  <c r="C45" i="3"/>
  <c r="D45" i="3"/>
  <c r="E45" i="3"/>
  <c r="F45" i="3"/>
  <c r="G45" i="3"/>
  <c r="H45" i="3"/>
  <c r="I45" i="3"/>
  <c r="J45" i="3"/>
  <c r="K45" i="3"/>
  <c r="L45" i="3"/>
  <c r="M45" i="3"/>
  <c r="N45" i="3"/>
  <c r="D72" i="2" l="1"/>
  <c r="D71" i="2"/>
  <c r="A244" i="3"/>
  <c r="A160" i="3"/>
  <c r="A159" i="3"/>
  <c r="B75" i="3"/>
  <c r="B244" i="3" s="1"/>
  <c r="A75" i="3"/>
  <c r="B35" i="3"/>
  <c r="B34" i="3"/>
  <c r="H118" i="3" l="1"/>
  <c r="H202" i="3" s="1"/>
  <c r="V71" i="2" s="1"/>
  <c r="C118" i="3"/>
  <c r="C202" i="3" s="1"/>
  <c r="J118" i="3"/>
  <c r="J202" i="3" s="1"/>
  <c r="X71" i="2" s="1"/>
  <c r="G118" i="3"/>
  <c r="G202" i="3" s="1"/>
  <c r="U71" i="2" s="1"/>
  <c r="F118" i="3"/>
  <c r="F202" i="3" s="1"/>
  <c r="T71" i="2" s="1"/>
  <c r="E118" i="3"/>
  <c r="E202" i="3" s="1"/>
  <c r="S71" i="2" s="1"/>
  <c r="I118" i="3"/>
  <c r="I202" i="3" s="1"/>
  <c r="W71" i="2" s="1"/>
  <c r="D118" i="3"/>
  <c r="D202" i="3" s="1"/>
  <c r="R71" i="2" s="1"/>
  <c r="N118" i="3"/>
  <c r="N202" i="3" s="1"/>
  <c r="AB71" i="2" s="1"/>
  <c r="K118" i="3"/>
  <c r="K202" i="3" s="1"/>
  <c r="Y71" i="2" s="1"/>
  <c r="M118" i="3"/>
  <c r="M202" i="3" s="1"/>
  <c r="AA71" i="2" s="1"/>
  <c r="L118" i="3"/>
  <c r="L202" i="3" s="1"/>
  <c r="Z71" i="2" s="1"/>
  <c r="C245" i="3"/>
  <c r="H119" i="3"/>
  <c r="H203" i="3" s="1"/>
  <c r="V72" i="2" s="1"/>
  <c r="I119" i="3"/>
  <c r="I203" i="3" s="1"/>
  <c r="W72" i="2" s="1"/>
  <c r="G119" i="3"/>
  <c r="G203" i="3" s="1"/>
  <c r="U72" i="2" s="1"/>
  <c r="J119" i="3"/>
  <c r="J203" i="3" s="1"/>
  <c r="X72" i="2" s="1"/>
  <c r="F119" i="3"/>
  <c r="F203" i="3" s="1"/>
  <c r="T72" i="2" s="1"/>
  <c r="E119" i="3"/>
  <c r="E203" i="3" s="1"/>
  <c r="S72" i="2" s="1"/>
  <c r="C119" i="3"/>
  <c r="C203" i="3" s="1"/>
  <c r="D119" i="3"/>
  <c r="D203" i="3" s="1"/>
  <c r="R72" i="2" s="1"/>
  <c r="K119" i="3"/>
  <c r="K203" i="3" s="1"/>
  <c r="Y72" i="2" s="1"/>
  <c r="N119" i="3"/>
  <c r="N203" i="3" s="1"/>
  <c r="AB72" i="2" s="1"/>
  <c r="M119" i="3"/>
  <c r="M203" i="3" s="1"/>
  <c r="AA72" i="2" s="1"/>
  <c r="L119" i="3"/>
  <c r="L203" i="3" s="1"/>
  <c r="Z72" i="2" s="1"/>
  <c r="G71" i="2"/>
  <c r="I72" i="2"/>
  <c r="F72" i="2"/>
  <c r="K72" i="2"/>
  <c r="AI72" i="2" s="1"/>
  <c r="G72" i="2"/>
  <c r="H71" i="2"/>
  <c r="AF71" i="2" s="1"/>
  <c r="I71" i="2"/>
  <c r="AG71" i="2" s="1"/>
  <c r="H72" i="2"/>
  <c r="AF72" i="2" s="1"/>
  <c r="J72" i="2"/>
  <c r="C244" i="3"/>
  <c r="M71" i="2"/>
  <c r="AK71" i="2" s="1"/>
  <c r="L72" i="2"/>
  <c r="AJ72" i="2" s="1"/>
  <c r="N71" i="2"/>
  <c r="N72" i="2"/>
  <c r="J71" i="2"/>
  <c r="L71" i="2"/>
  <c r="AJ71" i="2" s="1"/>
  <c r="P71" i="2"/>
  <c r="AN71" i="2" s="1"/>
  <c r="O72" i="2"/>
  <c r="E71" i="2"/>
  <c r="P72" i="2"/>
  <c r="F71" i="2"/>
  <c r="AD71" i="2" s="1"/>
  <c r="E72" i="2"/>
  <c r="B22" i="3"/>
  <c r="B21" i="3"/>
  <c r="B20" i="3"/>
  <c r="B19" i="3"/>
  <c r="B18" i="3"/>
  <c r="C228" i="3" s="1"/>
  <c r="B17" i="3"/>
  <c r="C227" i="3" s="1"/>
  <c r="B16" i="3"/>
  <c r="B15" i="3"/>
  <c r="B14" i="3"/>
  <c r="B13" i="3"/>
  <c r="B12" i="3"/>
  <c r="B11" i="3"/>
  <c r="B10" i="3"/>
  <c r="A232" i="3"/>
  <c r="A231" i="3"/>
  <c r="A230" i="3"/>
  <c r="A229" i="3"/>
  <c r="A228" i="3"/>
  <c r="A227" i="3"/>
  <c r="A147" i="3"/>
  <c r="A146" i="3"/>
  <c r="A145" i="3"/>
  <c r="A144" i="3"/>
  <c r="A143" i="3"/>
  <c r="A142" i="3"/>
  <c r="B61" i="3"/>
  <c r="A61" i="3"/>
  <c r="B60" i="3"/>
  <c r="A60" i="3"/>
  <c r="B59" i="3"/>
  <c r="A59" i="3"/>
  <c r="B58" i="3"/>
  <c r="A58" i="3"/>
  <c r="D55" i="2"/>
  <c r="AN72" i="2" l="1"/>
  <c r="B203" i="3"/>
  <c r="E245" i="3" s="1"/>
  <c r="Q72" i="2"/>
  <c r="AE72" i="2"/>
  <c r="AC72" i="2"/>
  <c r="AD72" i="2"/>
  <c r="AM72" i="2"/>
  <c r="AL72" i="2"/>
  <c r="AG72" i="2"/>
  <c r="AL71" i="2"/>
  <c r="AE71" i="2"/>
  <c r="Q71" i="2"/>
  <c r="AC71" i="2" s="1"/>
  <c r="B202" i="3"/>
  <c r="E244" i="3" s="1"/>
  <c r="AH72" i="2"/>
  <c r="M105" i="3"/>
  <c r="M189" i="3" s="1"/>
  <c r="AA59" i="2" s="1"/>
  <c r="AM59" i="2" s="1"/>
  <c r="D105" i="3"/>
  <c r="D189" i="3" s="1"/>
  <c r="R59" i="2" s="1"/>
  <c r="AD59" i="2" s="1"/>
  <c r="L105" i="3"/>
  <c r="L189" i="3" s="1"/>
  <c r="Z59" i="2" s="1"/>
  <c r="AL59" i="2" s="1"/>
  <c r="C105" i="3"/>
  <c r="C189" i="3" s="1"/>
  <c r="I105" i="3"/>
  <c r="I189" i="3" s="1"/>
  <c r="W59" i="2" s="1"/>
  <c r="AI59" i="2" s="1"/>
  <c r="H105" i="3"/>
  <c r="H189" i="3" s="1"/>
  <c r="V59" i="2" s="1"/>
  <c r="AH59" i="2" s="1"/>
  <c r="E105" i="3"/>
  <c r="E189" i="3" s="1"/>
  <c r="S59" i="2" s="1"/>
  <c r="AE59" i="2" s="1"/>
  <c r="J105" i="3"/>
  <c r="J189" i="3" s="1"/>
  <c r="X59" i="2" s="1"/>
  <c r="AJ59" i="2" s="1"/>
  <c r="F105" i="3"/>
  <c r="F189" i="3" s="1"/>
  <c r="T59" i="2" s="1"/>
  <c r="AF59" i="2" s="1"/>
  <c r="K105" i="3"/>
  <c r="K189" i="3" s="1"/>
  <c r="Y59" i="2" s="1"/>
  <c r="AK59" i="2" s="1"/>
  <c r="N105" i="3"/>
  <c r="N189" i="3" s="1"/>
  <c r="AB59" i="2" s="1"/>
  <c r="AN59" i="2" s="1"/>
  <c r="G105" i="3"/>
  <c r="G189" i="3" s="1"/>
  <c r="U59" i="2" s="1"/>
  <c r="AG59" i="2" s="1"/>
  <c r="AH71" i="2"/>
  <c r="M106" i="3"/>
  <c r="M190" i="3" s="1"/>
  <c r="AA60" i="2" s="1"/>
  <c r="AM60" i="2" s="1"/>
  <c r="G106" i="3"/>
  <c r="G190" i="3" s="1"/>
  <c r="U60" i="2" s="1"/>
  <c r="AG60" i="2" s="1"/>
  <c r="K106" i="3"/>
  <c r="K190" i="3" s="1"/>
  <c r="Y60" i="2" s="1"/>
  <c r="AK60" i="2" s="1"/>
  <c r="C106" i="3"/>
  <c r="C190" i="3" s="1"/>
  <c r="I106" i="3"/>
  <c r="I190" i="3" s="1"/>
  <c r="W60" i="2" s="1"/>
  <c r="AI60" i="2" s="1"/>
  <c r="J106" i="3"/>
  <c r="J190" i="3" s="1"/>
  <c r="X60" i="2" s="1"/>
  <c r="AJ60" i="2" s="1"/>
  <c r="L106" i="3"/>
  <c r="L190" i="3" s="1"/>
  <c r="Z60" i="2" s="1"/>
  <c r="AL60" i="2" s="1"/>
  <c r="H106" i="3"/>
  <c r="H190" i="3" s="1"/>
  <c r="V60" i="2" s="1"/>
  <c r="AH60" i="2" s="1"/>
  <c r="F106" i="3"/>
  <c r="F190" i="3" s="1"/>
  <c r="T60" i="2" s="1"/>
  <c r="AF60" i="2" s="1"/>
  <c r="N106" i="3"/>
  <c r="N190" i="3" s="1"/>
  <c r="AB60" i="2" s="1"/>
  <c r="AN60" i="2" s="1"/>
  <c r="D106" i="3"/>
  <c r="D190" i="3" s="1"/>
  <c r="R60" i="2" s="1"/>
  <c r="AD60" i="2" s="1"/>
  <c r="E106" i="3"/>
  <c r="E190" i="3" s="1"/>
  <c r="S60" i="2" s="1"/>
  <c r="AE60" i="2" s="1"/>
  <c r="L104" i="3"/>
  <c r="L188" i="3" s="1"/>
  <c r="Z58" i="2" s="1"/>
  <c r="AL58" i="2" s="1"/>
  <c r="K104" i="3"/>
  <c r="K188" i="3" s="1"/>
  <c r="Y58" i="2" s="1"/>
  <c r="AK58" i="2" s="1"/>
  <c r="J104" i="3"/>
  <c r="X58" i="2" s="1"/>
  <c r="AJ58" i="2" s="1"/>
  <c r="D104" i="3"/>
  <c r="R58" i="2" s="1"/>
  <c r="AD58" i="2" s="1"/>
  <c r="I104" i="3"/>
  <c r="W58" i="2" s="1"/>
  <c r="AI58" i="2" s="1"/>
  <c r="M104" i="3"/>
  <c r="AA58" i="2" s="1"/>
  <c r="AM58" i="2" s="1"/>
  <c r="H104" i="3"/>
  <c r="V58" i="2" s="1"/>
  <c r="AH58" i="2" s="1"/>
  <c r="G104" i="3"/>
  <c r="G188" i="3" s="1"/>
  <c r="U58" i="2" s="1"/>
  <c r="AG58" i="2" s="1"/>
  <c r="F104" i="3"/>
  <c r="F188" i="3" s="1"/>
  <c r="T58" i="2" s="1"/>
  <c r="AF58" i="2" s="1"/>
  <c r="E104" i="3"/>
  <c r="S58" i="2" s="1"/>
  <c r="AE58" i="2" s="1"/>
  <c r="C104" i="3"/>
  <c r="N104" i="3"/>
  <c r="AB58" i="2" s="1"/>
  <c r="AN58" i="2" s="1"/>
  <c r="L101" i="3"/>
  <c r="K101" i="3"/>
  <c r="M101" i="3"/>
  <c r="J101" i="3"/>
  <c r="I101" i="3"/>
  <c r="H101" i="3"/>
  <c r="G101" i="3"/>
  <c r="D101" i="3"/>
  <c r="F101" i="3"/>
  <c r="E101" i="3"/>
  <c r="C101" i="3"/>
  <c r="N101" i="3"/>
  <c r="L102" i="3"/>
  <c r="L186" i="3" s="1"/>
  <c r="Z56" i="2" s="1"/>
  <c r="AL56" i="2" s="1"/>
  <c r="K102" i="3"/>
  <c r="K186" i="3" s="1"/>
  <c r="Y56" i="2" s="1"/>
  <c r="AK56" i="2" s="1"/>
  <c r="D102" i="3"/>
  <c r="D186" i="3" s="1"/>
  <c r="R56" i="2" s="1"/>
  <c r="AD56" i="2" s="1"/>
  <c r="J102" i="3"/>
  <c r="J186" i="3" s="1"/>
  <c r="X56" i="2" s="1"/>
  <c r="AJ56" i="2" s="1"/>
  <c r="M102" i="3"/>
  <c r="M186" i="3" s="1"/>
  <c r="AA56" i="2" s="1"/>
  <c r="AM56" i="2" s="1"/>
  <c r="I102" i="3"/>
  <c r="I186" i="3" s="1"/>
  <c r="W56" i="2" s="1"/>
  <c r="AI56" i="2" s="1"/>
  <c r="H102" i="3"/>
  <c r="H186" i="3" s="1"/>
  <c r="V56" i="2" s="1"/>
  <c r="AH56" i="2" s="1"/>
  <c r="G102" i="3"/>
  <c r="G186" i="3" s="1"/>
  <c r="U56" i="2" s="1"/>
  <c r="AG56" i="2" s="1"/>
  <c r="F102" i="3"/>
  <c r="F186" i="3" s="1"/>
  <c r="T56" i="2" s="1"/>
  <c r="AF56" i="2" s="1"/>
  <c r="E102" i="3"/>
  <c r="E186" i="3" s="1"/>
  <c r="S56" i="2" s="1"/>
  <c r="AE56" i="2" s="1"/>
  <c r="C102" i="3"/>
  <c r="C186" i="3" s="1"/>
  <c r="N102" i="3"/>
  <c r="N186" i="3" s="1"/>
  <c r="AB56" i="2" s="1"/>
  <c r="AN56" i="2" s="1"/>
  <c r="B229" i="3"/>
  <c r="L103" i="3"/>
  <c r="L187" i="3" s="1"/>
  <c r="Z57" i="2" s="1"/>
  <c r="AL57" i="2" s="1"/>
  <c r="K103" i="3"/>
  <c r="K187" i="3" s="1"/>
  <c r="Y57" i="2" s="1"/>
  <c r="AK57" i="2" s="1"/>
  <c r="J103" i="3"/>
  <c r="J187" i="3" s="1"/>
  <c r="X57" i="2" s="1"/>
  <c r="AJ57" i="2" s="1"/>
  <c r="I103" i="3"/>
  <c r="I187" i="3" s="1"/>
  <c r="W57" i="2" s="1"/>
  <c r="AI57" i="2" s="1"/>
  <c r="H103" i="3"/>
  <c r="H187" i="3" s="1"/>
  <c r="V57" i="2" s="1"/>
  <c r="AH57" i="2" s="1"/>
  <c r="G103" i="3"/>
  <c r="G187" i="3" s="1"/>
  <c r="U57" i="2" s="1"/>
  <c r="AG57" i="2" s="1"/>
  <c r="F103" i="3"/>
  <c r="F187" i="3" s="1"/>
  <c r="T57" i="2" s="1"/>
  <c r="AF57" i="2" s="1"/>
  <c r="E103" i="3"/>
  <c r="E187" i="3" s="1"/>
  <c r="S57" i="2" s="1"/>
  <c r="AE57" i="2" s="1"/>
  <c r="D103" i="3"/>
  <c r="D187" i="3" s="1"/>
  <c r="R57" i="2" s="1"/>
  <c r="AD57" i="2" s="1"/>
  <c r="C103" i="3"/>
  <c r="C187" i="3" s="1"/>
  <c r="M103" i="3"/>
  <c r="M187" i="3" s="1"/>
  <c r="AA57" i="2" s="1"/>
  <c r="AM57" i="2" s="1"/>
  <c r="N103" i="3"/>
  <c r="N187" i="3" s="1"/>
  <c r="AB57" i="2" s="1"/>
  <c r="AN57" i="2" s="1"/>
  <c r="C232" i="3"/>
  <c r="K71" i="2"/>
  <c r="AI71" i="2" s="1"/>
  <c r="B160" i="3"/>
  <c r="D245" i="3" s="1"/>
  <c r="M72" i="2"/>
  <c r="AK72" i="2" s="1"/>
  <c r="O71" i="2"/>
  <c r="AM71" i="2" s="1"/>
  <c r="L55" i="2"/>
  <c r="F55" i="2"/>
  <c r="E55" i="2"/>
  <c r="G55" i="2"/>
  <c r="O55" i="2"/>
  <c r="P55" i="2"/>
  <c r="I55" i="2"/>
  <c r="J55" i="2"/>
  <c r="B232" i="3"/>
  <c r="B230" i="3"/>
  <c r="B227" i="3"/>
  <c r="N55" i="2"/>
  <c r="K55" i="2"/>
  <c r="B231" i="3"/>
  <c r="B228" i="3"/>
  <c r="C229" i="3"/>
  <c r="H55" i="2"/>
  <c r="M55" i="2"/>
  <c r="C231" i="3"/>
  <c r="C230" i="3"/>
  <c r="B190" i="3" l="1"/>
  <c r="E232" i="3" s="1"/>
  <c r="F232" i="3" s="1"/>
  <c r="Q60" i="2"/>
  <c r="AC60" i="2" s="1"/>
  <c r="B189" i="3"/>
  <c r="E231" i="3" s="1"/>
  <c r="Q59" i="2"/>
  <c r="AC59" i="2" s="1"/>
  <c r="B187" i="3"/>
  <c r="E229" i="3" s="1"/>
  <c r="Q57" i="2"/>
  <c r="AC57" i="2" s="1"/>
  <c r="B186" i="3"/>
  <c r="E228" i="3" s="1"/>
  <c r="F228" i="3" s="1"/>
  <c r="Q56" i="2"/>
  <c r="AC56" i="2" s="1"/>
  <c r="F245" i="3"/>
  <c r="F244" i="3"/>
  <c r="B188" i="3"/>
  <c r="E230" i="3" s="1"/>
  <c r="Q58" i="2"/>
  <c r="AC58" i="2" s="1"/>
  <c r="S55" i="2"/>
  <c r="AE55" i="2" s="1"/>
  <c r="T55" i="2"/>
  <c r="AF55" i="2" s="1"/>
  <c r="W55" i="2"/>
  <c r="AI55" i="2" s="1"/>
  <c r="Z55" i="2"/>
  <c r="AL55" i="2" s="1"/>
  <c r="V55" i="2"/>
  <c r="AH55" i="2" s="1"/>
  <c r="AB55" i="2"/>
  <c r="AN55" i="2" s="1"/>
  <c r="R55" i="2"/>
  <c r="AD55" i="2" s="1"/>
  <c r="X55" i="2"/>
  <c r="AJ55" i="2" s="1"/>
  <c r="Y55" i="2"/>
  <c r="AK55" i="2" s="1"/>
  <c r="Q55" i="2"/>
  <c r="AC55" i="2" s="1"/>
  <c r="B185" i="3"/>
  <c r="U55" i="2"/>
  <c r="AG55" i="2" s="1"/>
  <c r="AA55" i="2"/>
  <c r="AM55" i="2" s="1"/>
  <c r="B159" i="3"/>
  <c r="D244" i="3" s="1"/>
  <c r="B143" i="3"/>
  <c r="D228" i="3" s="1"/>
  <c r="B145" i="3"/>
  <c r="D230" i="3" s="1"/>
  <c r="B142" i="3"/>
  <c r="D227" i="3" s="1"/>
  <c r="B147" i="3"/>
  <c r="D232" i="3" s="1"/>
  <c r="B144" i="3"/>
  <c r="D229" i="3" s="1"/>
  <c r="B146" i="3"/>
  <c r="D231" i="3" s="1"/>
  <c r="F229" i="3" l="1"/>
  <c r="F231" i="3"/>
  <c r="F230" i="3"/>
  <c r="E227" i="3"/>
  <c r="B33" i="3"/>
  <c r="F227" i="3" l="1"/>
  <c r="A2" i="2"/>
  <c r="B87" i="2" s="1"/>
  <c r="N89" i="3"/>
  <c r="M89" i="3"/>
  <c r="L89" i="3"/>
  <c r="K89" i="3"/>
  <c r="J89" i="3"/>
  <c r="I89" i="3"/>
  <c r="H89" i="3"/>
  <c r="G89" i="3"/>
  <c r="F89" i="3"/>
  <c r="E89" i="3"/>
  <c r="D89" i="3"/>
  <c r="C89" i="3"/>
  <c r="B89" i="3"/>
  <c r="D7" i="3" l="1"/>
  <c r="D175" i="3"/>
  <c r="E7" i="3"/>
  <c r="E175" i="3"/>
  <c r="B7" i="3"/>
  <c r="B175" i="3"/>
  <c r="E217" i="3" s="1"/>
  <c r="M7" i="3"/>
  <c r="M175" i="3"/>
  <c r="F7" i="3"/>
  <c r="F175" i="3"/>
  <c r="I7" i="3"/>
  <c r="I175" i="3"/>
  <c r="J48" i="3"/>
  <c r="J175" i="3"/>
  <c r="L7" i="3"/>
  <c r="L175" i="3"/>
  <c r="C48" i="3"/>
  <c r="C175" i="3"/>
  <c r="G48" i="3"/>
  <c r="G175" i="3"/>
  <c r="H48" i="3"/>
  <c r="H175" i="3"/>
  <c r="K48" i="3"/>
  <c r="K175" i="3"/>
  <c r="N7" i="3"/>
  <c r="N175" i="3"/>
  <c r="M48" i="3"/>
  <c r="E48" i="3"/>
  <c r="I48" i="3"/>
  <c r="H7" i="3"/>
  <c r="B48" i="3"/>
  <c r="D48" i="3"/>
  <c r="L48" i="3"/>
  <c r="G7" i="3"/>
  <c r="F48" i="3"/>
  <c r="N48" i="3"/>
  <c r="J7" i="3"/>
  <c r="C7" i="3"/>
  <c r="K7" i="3"/>
  <c r="D70" i="2"/>
  <c r="D69" i="2"/>
  <c r="D54" i="2"/>
  <c r="D53" i="2"/>
  <c r="B57" i="3"/>
  <c r="A57" i="3"/>
  <c r="B74" i="3"/>
  <c r="A74" i="3"/>
  <c r="G217" i="3" l="1"/>
  <c r="H217" i="3"/>
  <c r="H117" i="3"/>
  <c r="H201" i="3" s="1"/>
  <c r="V70" i="2" s="1"/>
  <c r="G117" i="3"/>
  <c r="G201" i="3" s="1"/>
  <c r="U70" i="2" s="1"/>
  <c r="F117" i="3"/>
  <c r="F201" i="3" s="1"/>
  <c r="T70" i="2" s="1"/>
  <c r="J117" i="3"/>
  <c r="J201" i="3" s="1"/>
  <c r="X70" i="2" s="1"/>
  <c r="M117" i="3"/>
  <c r="M201" i="3" s="1"/>
  <c r="AA70" i="2" s="1"/>
  <c r="I117" i="3"/>
  <c r="I201" i="3" s="1"/>
  <c r="W70" i="2" s="1"/>
  <c r="E117" i="3"/>
  <c r="E201" i="3" s="1"/>
  <c r="S70" i="2" s="1"/>
  <c r="D117" i="3"/>
  <c r="D201" i="3" s="1"/>
  <c r="R70" i="2" s="1"/>
  <c r="C117" i="3"/>
  <c r="C201" i="3" s="1"/>
  <c r="N117" i="3"/>
  <c r="N201" i="3" s="1"/>
  <c r="AB70" i="2" s="1"/>
  <c r="K117" i="3"/>
  <c r="K201" i="3" s="1"/>
  <c r="Y70" i="2" s="1"/>
  <c r="L117" i="3"/>
  <c r="L201" i="3" s="1"/>
  <c r="Z70" i="2" s="1"/>
  <c r="L100" i="3"/>
  <c r="L184" i="3" s="1"/>
  <c r="Z54" i="2" s="1"/>
  <c r="M100" i="3"/>
  <c r="M184" i="3" s="1"/>
  <c r="AA54" i="2" s="1"/>
  <c r="K100" i="3"/>
  <c r="K184" i="3" s="1"/>
  <c r="Y54" i="2" s="1"/>
  <c r="J100" i="3"/>
  <c r="J184" i="3" s="1"/>
  <c r="X54" i="2" s="1"/>
  <c r="I100" i="3"/>
  <c r="I184" i="3" s="1"/>
  <c r="W54" i="2" s="1"/>
  <c r="H100" i="3"/>
  <c r="H184" i="3" s="1"/>
  <c r="V54" i="2" s="1"/>
  <c r="G100" i="3"/>
  <c r="G184" i="3" s="1"/>
  <c r="U54" i="2" s="1"/>
  <c r="F100" i="3"/>
  <c r="F184" i="3" s="1"/>
  <c r="T54" i="2" s="1"/>
  <c r="D100" i="3"/>
  <c r="D184" i="3" s="1"/>
  <c r="R54" i="2" s="1"/>
  <c r="E100" i="3"/>
  <c r="E184" i="3" s="1"/>
  <c r="S54" i="2" s="1"/>
  <c r="C100" i="3"/>
  <c r="C184" i="3" s="1"/>
  <c r="N100" i="3"/>
  <c r="N184" i="3" s="1"/>
  <c r="AB54" i="2" s="1"/>
  <c r="K54" i="2"/>
  <c r="AI54" i="2" s="1"/>
  <c r="N54" i="2"/>
  <c r="AL54" i="2" s="1"/>
  <c r="L54" i="2"/>
  <c r="AJ54" i="2" s="1"/>
  <c r="H54" i="2"/>
  <c r="AF54" i="2" s="1"/>
  <c r="M54" i="2"/>
  <c r="AK54" i="2" s="1"/>
  <c r="O54" i="2"/>
  <c r="AM54" i="2" s="1"/>
  <c r="J54" i="2"/>
  <c r="AH54" i="2" s="1"/>
  <c r="P54" i="2"/>
  <c r="I54" i="2"/>
  <c r="AG54" i="2" s="1"/>
  <c r="N70" i="2"/>
  <c r="H70" i="2"/>
  <c r="AF70" i="2" s="1"/>
  <c r="P70" i="2"/>
  <c r="AN70" i="2" s="1"/>
  <c r="O70" i="2"/>
  <c r="AM70" i="2" s="1"/>
  <c r="I70" i="2"/>
  <c r="AG70" i="2" s="1"/>
  <c r="J70" i="2"/>
  <c r="K70" i="2"/>
  <c r="AI70" i="2" s="1"/>
  <c r="L70" i="2"/>
  <c r="AJ70" i="2" s="1"/>
  <c r="C243" i="3"/>
  <c r="B243" i="3"/>
  <c r="A243" i="3"/>
  <c r="C226" i="3"/>
  <c r="B226" i="3"/>
  <c r="A226" i="3"/>
  <c r="M70" i="2"/>
  <c r="AK70" i="2" s="1"/>
  <c r="A158" i="3"/>
  <c r="A141" i="3"/>
  <c r="A242" i="3"/>
  <c r="A225" i="3"/>
  <c r="A157" i="3"/>
  <c r="A140" i="3"/>
  <c r="B73" i="3"/>
  <c r="B242" i="3" s="1"/>
  <c r="A73" i="3"/>
  <c r="B56" i="3"/>
  <c r="A56" i="3"/>
  <c r="B32" i="3"/>
  <c r="C225" i="3"/>
  <c r="B184" i="3" l="1"/>
  <c r="E226" i="3" s="1"/>
  <c r="Q54" i="2"/>
  <c r="Q70" i="2"/>
  <c r="B201" i="3"/>
  <c r="E243" i="3" s="1"/>
  <c r="AN54" i="2"/>
  <c r="AL70" i="2"/>
  <c r="H116" i="3"/>
  <c r="H200" i="3" s="1"/>
  <c r="V69" i="2" s="1"/>
  <c r="I116" i="3"/>
  <c r="I200" i="3" s="1"/>
  <c r="W69" i="2" s="1"/>
  <c r="G116" i="3"/>
  <c r="G200" i="3" s="1"/>
  <c r="U69" i="2" s="1"/>
  <c r="F116" i="3"/>
  <c r="F200" i="3" s="1"/>
  <c r="T69" i="2" s="1"/>
  <c r="K116" i="3"/>
  <c r="K200" i="3" s="1"/>
  <c r="Y69" i="2" s="1"/>
  <c r="E116" i="3"/>
  <c r="E200" i="3" s="1"/>
  <c r="S69" i="2" s="1"/>
  <c r="C116" i="3"/>
  <c r="C200" i="3" s="1"/>
  <c r="D116" i="3"/>
  <c r="D200" i="3" s="1"/>
  <c r="R69" i="2" s="1"/>
  <c r="N116" i="3"/>
  <c r="N200" i="3" s="1"/>
  <c r="AB69" i="2" s="1"/>
  <c r="J116" i="3"/>
  <c r="J200" i="3" s="1"/>
  <c r="X69" i="2" s="1"/>
  <c r="M116" i="3"/>
  <c r="M200" i="3" s="1"/>
  <c r="AA69" i="2" s="1"/>
  <c r="L116" i="3"/>
  <c r="L200" i="3" s="1"/>
  <c r="Z69" i="2" s="1"/>
  <c r="AH70" i="2"/>
  <c r="L99" i="3"/>
  <c r="L183" i="3" s="1"/>
  <c r="Z53" i="2" s="1"/>
  <c r="K99" i="3"/>
  <c r="K183" i="3" s="1"/>
  <c r="Y53" i="2" s="1"/>
  <c r="J99" i="3"/>
  <c r="J183" i="3" s="1"/>
  <c r="X53" i="2" s="1"/>
  <c r="I99" i="3"/>
  <c r="I183" i="3" s="1"/>
  <c r="W53" i="2" s="1"/>
  <c r="E99" i="3"/>
  <c r="E183" i="3" s="1"/>
  <c r="S53" i="2" s="1"/>
  <c r="H99" i="3"/>
  <c r="H183" i="3" s="1"/>
  <c r="V53" i="2" s="1"/>
  <c r="D99" i="3"/>
  <c r="D183" i="3" s="1"/>
  <c r="R53" i="2" s="1"/>
  <c r="G99" i="3"/>
  <c r="G183" i="3" s="1"/>
  <c r="U53" i="2" s="1"/>
  <c r="F99" i="3"/>
  <c r="F183" i="3" s="1"/>
  <c r="T53" i="2" s="1"/>
  <c r="M99" i="3"/>
  <c r="M183" i="3" s="1"/>
  <c r="AA53" i="2" s="1"/>
  <c r="C99" i="3"/>
  <c r="C183" i="3" s="1"/>
  <c r="N99" i="3"/>
  <c r="N183" i="3" s="1"/>
  <c r="AB53" i="2" s="1"/>
  <c r="G70" i="2"/>
  <c r="AE70" i="2" s="1"/>
  <c r="E70" i="2"/>
  <c r="AC70" i="2" s="1"/>
  <c r="F70" i="2"/>
  <c r="AD70" i="2" s="1"/>
  <c r="G54" i="2"/>
  <c r="AE54" i="2" s="1"/>
  <c r="F54" i="2"/>
  <c r="AD54" i="2" s="1"/>
  <c r="M53" i="2"/>
  <c r="L53" i="2"/>
  <c r="J69" i="2"/>
  <c r="H53" i="2"/>
  <c r="AF53" i="2" s="1"/>
  <c r="P69" i="2"/>
  <c r="AN69" i="2" s="1"/>
  <c r="O53" i="2"/>
  <c r="AM53" i="2" s="1"/>
  <c r="P53" i="2"/>
  <c r="AN53" i="2" s="1"/>
  <c r="H69" i="2"/>
  <c r="N53" i="2"/>
  <c r="AL53" i="2" s="1"/>
  <c r="I69" i="2"/>
  <c r="AG69" i="2" s="1"/>
  <c r="C242" i="3"/>
  <c r="L69" i="2"/>
  <c r="AJ69" i="2" s="1"/>
  <c r="B225" i="3"/>
  <c r="I53" i="2"/>
  <c r="AG53" i="2" s="1"/>
  <c r="J53" i="2"/>
  <c r="AH53" i="2" s="1"/>
  <c r="M69" i="2"/>
  <c r="K69" i="2"/>
  <c r="AI69" i="2" s="1"/>
  <c r="K53" i="2"/>
  <c r="N69" i="2"/>
  <c r="AL69" i="2" s="1"/>
  <c r="O69" i="2"/>
  <c r="AM69" i="2" s="1"/>
  <c r="D68" i="2"/>
  <c r="D67" i="2"/>
  <c r="D66" i="2"/>
  <c r="D65" i="2"/>
  <c r="D52" i="2"/>
  <c r="D51" i="2"/>
  <c r="D50" i="2"/>
  <c r="D49" i="2"/>
  <c r="D48" i="2"/>
  <c r="D47" i="2"/>
  <c r="A241" i="3"/>
  <c r="A240" i="3"/>
  <c r="A239" i="3"/>
  <c r="A238" i="3"/>
  <c r="A224" i="3"/>
  <c r="A223" i="3"/>
  <c r="A222" i="3"/>
  <c r="A221" i="3"/>
  <c r="A220" i="3"/>
  <c r="A219" i="3"/>
  <c r="A156" i="3"/>
  <c r="A155" i="3"/>
  <c r="A154" i="3"/>
  <c r="A153" i="3"/>
  <c r="A139" i="3"/>
  <c r="A138" i="3"/>
  <c r="A137" i="3"/>
  <c r="A136" i="3"/>
  <c r="A135" i="3"/>
  <c r="A134" i="3"/>
  <c r="A112" i="3"/>
  <c r="A93" i="3"/>
  <c r="A55" i="3"/>
  <c r="A54" i="3"/>
  <c r="A53" i="3"/>
  <c r="A52" i="3"/>
  <c r="A51" i="3"/>
  <c r="A50" i="3"/>
  <c r="A72" i="3"/>
  <c r="A71" i="3"/>
  <c r="A70" i="3"/>
  <c r="A69" i="3"/>
  <c r="AF69" i="2" l="1"/>
  <c r="AI53" i="2"/>
  <c r="B183" i="3"/>
  <c r="E225" i="3" s="1"/>
  <c r="Q53" i="2"/>
  <c r="AK69" i="2"/>
  <c r="F243" i="3"/>
  <c r="AJ53" i="2"/>
  <c r="AK53" i="2"/>
  <c r="B200" i="3"/>
  <c r="E242" i="3" s="1"/>
  <c r="Q69" i="2"/>
  <c r="F226" i="3"/>
  <c r="AH69" i="2"/>
  <c r="B158" i="3"/>
  <c r="D243" i="3" s="1"/>
  <c r="B141" i="3"/>
  <c r="D226" i="3" s="1"/>
  <c r="F69" i="2"/>
  <c r="AD69" i="2" s="1"/>
  <c r="E69" i="2"/>
  <c r="E54" i="2"/>
  <c r="AC54" i="2" s="1"/>
  <c r="G53" i="2"/>
  <c r="AE53" i="2" s="1"/>
  <c r="F53" i="2"/>
  <c r="AD53" i="2" s="1"/>
  <c r="G69" i="2"/>
  <c r="AE69" i="2" s="1"/>
  <c r="AC69" i="2" l="1"/>
  <c r="B157" i="3"/>
  <c r="D242" i="3" s="1"/>
  <c r="F242" i="3" s="1"/>
  <c r="B140" i="3"/>
  <c r="D225" i="3" s="1"/>
  <c r="F225" i="3" s="1"/>
  <c r="E53" i="2"/>
  <c r="AC53" i="2" s="1"/>
  <c r="H132" i="3"/>
  <c r="G132" i="3"/>
  <c r="F132" i="3"/>
  <c r="E132" i="3"/>
  <c r="D132" i="3"/>
  <c r="C132" i="3"/>
  <c r="B129" i="3"/>
  <c r="N86" i="3"/>
  <c r="M86" i="3"/>
  <c r="L86" i="3"/>
  <c r="K86" i="3"/>
  <c r="J86" i="3"/>
  <c r="I86" i="3"/>
  <c r="H86" i="3"/>
  <c r="G86" i="3"/>
  <c r="F86" i="3"/>
  <c r="E86" i="3"/>
  <c r="D86" i="3"/>
  <c r="C86" i="3"/>
  <c r="B72" i="3"/>
  <c r="B241" i="3" s="1"/>
  <c r="B71" i="3"/>
  <c r="B240" i="3" s="1"/>
  <c r="B70" i="3"/>
  <c r="B239" i="3" s="1"/>
  <c r="B69" i="3"/>
  <c r="B238" i="3" s="1"/>
  <c r="B31" i="3"/>
  <c r="B30" i="3"/>
  <c r="B28" i="3"/>
  <c r="B55" i="3"/>
  <c r="B53" i="3"/>
  <c r="B52" i="3"/>
  <c r="E67" i="3"/>
  <c r="B51" i="3"/>
  <c r="I67" i="3"/>
  <c r="B50" i="3"/>
  <c r="B219" i="3" s="1"/>
  <c r="N26" i="3"/>
  <c r="K26" i="3"/>
  <c r="I26" i="3"/>
  <c r="H26" i="3"/>
  <c r="J26" i="3"/>
  <c r="F26" i="3"/>
  <c r="B110" i="3"/>
  <c r="N132" i="3"/>
  <c r="M132" i="3"/>
  <c r="L132" i="3"/>
  <c r="K132" i="3"/>
  <c r="J132" i="3"/>
  <c r="I132" i="3"/>
  <c r="B132" i="3"/>
  <c r="B217" i="3"/>
  <c r="C217" i="3"/>
  <c r="B54" i="3"/>
  <c r="N67" i="3"/>
  <c r="M67" i="3"/>
  <c r="L67" i="3"/>
  <c r="K67" i="3"/>
  <c r="J67" i="3"/>
  <c r="H67" i="3"/>
  <c r="F67" i="3"/>
  <c r="D67" i="3"/>
  <c r="M26" i="3"/>
  <c r="L26" i="3"/>
  <c r="E26" i="3"/>
  <c r="D217" i="3" l="1"/>
  <c r="I114" i="3"/>
  <c r="I198" i="3" s="1"/>
  <c r="H114" i="3"/>
  <c r="H198" i="3" s="1"/>
  <c r="J114" i="3"/>
  <c r="J198" i="3" s="1"/>
  <c r="G114" i="3"/>
  <c r="G198" i="3" s="1"/>
  <c r="F114" i="3"/>
  <c r="F198" i="3" s="1"/>
  <c r="E114" i="3"/>
  <c r="E198" i="3" s="1"/>
  <c r="C114" i="3"/>
  <c r="C198" i="3" s="1"/>
  <c r="K114" i="3"/>
  <c r="K198" i="3" s="1"/>
  <c r="D114" i="3"/>
  <c r="D198" i="3" s="1"/>
  <c r="N114" i="3"/>
  <c r="N198" i="3" s="1"/>
  <c r="M114" i="3"/>
  <c r="M198" i="3" s="1"/>
  <c r="L114" i="3"/>
  <c r="L198" i="3" s="1"/>
  <c r="H115" i="3"/>
  <c r="H199" i="3" s="1"/>
  <c r="V68" i="2" s="1"/>
  <c r="G115" i="3"/>
  <c r="G199" i="3" s="1"/>
  <c r="U68" i="2" s="1"/>
  <c r="C115" i="3"/>
  <c r="C199" i="3" s="1"/>
  <c r="F115" i="3"/>
  <c r="F199" i="3" s="1"/>
  <c r="T68" i="2" s="1"/>
  <c r="E115" i="3"/>
  <c r="E199" i="3" s="1"/>
  <c r="S68" i="2" s="1"/>
  <c r="D115" i="3"/>
  <c r="D199" i="3" s="1"/>
  <c r="R68" i="2" s="1"/>
  <c r="J115" i="3"/>
  <c r="J199" i="3" s="1"/>
  <c r="X68" i="2" s="1"/>
  <c r="N115" i="3"/>
  <c r="N199" i="3" s="1"/>
  <c r="AB68" i="2" s="1"/>
  <c r="M115" i="3"/>
  <c r="M199" i="3" s="1"/>
  <c r="AA68" i="2" s="1"/>
  <c r="L115" i="3"/>
  <c r="L199" i="3" s="1"/>
  <c r="Z68" i="2" s="1"/>
  <c r="K115" i="3"/>
  <c r="K199" i="3" s="1"/>
  <c r="Y68" i="2" s="1"/>
  <c r="I115" i="3"/>
  <c r="I199" i="3" s="1"/>
  <c r="W68" i="2" s="1"/>
  <c r="B222" i="3"/>
  <c r="L96" i="3"/>
  <c r="L180" i="3" s="1"/>
  <c r="Z50" i="2" s="1"/>
  <c r="D96" i="3"/>
  <c r="D180" i="3" s="1"/>
  <c r="R50" i="2" s="1"/>
  <c r="C96" i="3"/>
  <c r="C180" i="3" s="1"/>
  <c r="K96" i="3"/>
  <c r="K180" i="3" s="1"/>
  <c r="Y50" i="2" s="1"/>
  <c r="J96" i="3"/>
  <c r="J180" i="3" s="1"/>
  <c r="X50" i="2" s="1"/>
  <c r="I96" i="3"/>
  <c r="I180" i="3" s="1"/>
  <c r="W50" i="2" s="1"/>
  <c r="M96" i="3"/>
  <c r="M180" i="3" s="1"/>
  <c r="AA50" i="2" s="1"/>
  <c r="H96" i="3"/>
  <c r="H180" i="3" s="1"/>
  <c r="V50" i="2" s="1"/>
  <c r="G96" i="3"/>
  <c r="G180" i="3" s="1"/>
  <c r="U50" i="2" s="1"/>
  <c r="F96" i="3"/>
  <c r="F180" i="3" s="1"/>
  <c r="T50" i="2" s="1"/>
  <c r="N96" i="3"/>
  <c r="N180" i="3" s="1"/>
  <c r="AB50" i="2" s="1"/>
  <c r="E96" i="3"/>
  <c r="E180" i="3" s="1"/>
  <c r="S50" i="2" s="1"/>
  <c r="B220" i="3"/>
  <c r="L94" i="3"/>
  <c r="L178" i="3" s="1"/>
  <c r="Z48" i="2" s="1"/>
  <c r="K94" i="3"/>
  <c r="K178" i="3" s="1"/>
  <c r="Y48" i="2" s="1"/>
  <c r="I94" i="3"/>
  <c r="I178" i="3" s="1"/>
  <c r="W48" i="2" s="1"/>
  <c r="N94" i="3"/>
  <c r="N178" i="3" s="1"/>
  <c r="AB48" i="2" s="1"/>
  <c r="J94" i="3"/>
  <c r="J178" i="3" s="1"/>
  <c r="X48" i="2" s="1"/>
  <c r="M94" i="3"/>
  <c r="M178" i="3" s="1"/>
  <c r="AA48" i="2" s="1"/>
  <c r="E94" i="3"/>
  <c r="E178" i="3" s="1"/>
  <c r="S48" i="2" s="1"/>
  <c r="C94" i="3"/>
  <c r="C178" i="3" s="1"/>
  <c r="H94" i="3"/>
  <c r="H178" i="3" s="1"/>
  <c r="V48" i="2" s="1"/>
  <c r="G94" i="3"/>
  <c r="G178" i="3" s="1"/>
  <c r="U48" i="2" s="1"/>
  <c r="F94" i="3"/>
  <c r="F178" i="3" s="1"/>
  <c r="T48" i="2" s="1"/>
  <c r="D94" i="3"/>
  <c r="D178" i="3" s="1"/>
  <c r="R48" i="2" s="1"/>
  <c r="B221" i="3"/>
  <c r="L95" i="3"/>
  <c r="L179" i="3" s="1"/>
  <c r="Z49" i="2" s="1"/>
  <c r="K95" i="3"/>
  <c r="K179" i="3" s="1"/>
  <c r="Y49" i="2" s="1"/>
  <c r="J95" i="3"/>
  <c r="J179" i="3" s="1"/>
  <c r="X49" i="2" s="1"/>
  <c r="E95" i="3"/>
  <c r="E179" i="3" s="1"/>
  <c r="S49" i="2" s="1"/>
  <c r="N95" i="3"/>
  <c r="N179" i="3" s="1"/>
  <c r="AB49" i="2" s="1"/>
  <c r="I95" i="3"/>
  <c r="I179" i="3" s="1"/>
  <c r="W49" i="2" s="1"/>
  <c r="H95" i="3"/>
  <c r="H179" i="3" s="1"/>
  <c r="V49" i="2" s="1"/>
  <c r="G95" i="3"/>
  <c r="G179" i="3" s="1"/>
  <c r="U49" i="2" s="1"/>
  <c r="C95" i="3"/>
  <c r="C179" i="3" s="1"/>
  <c r="F95" i="3"/>
  <c r="F179" i="3" s="1"/>
  <c r="T49" i="2" s="1"/>
  <c r="D95" i="3"/>
  <c r="D179" i="3" s="1"/>
  <c r="R49" i="2" s="1"/>
  <c r="M95" i="3"/>
  <c r="M179" i="3" s="1"/>
  <c r="AA49" i="2" s="1"/>
  <c r="B223" i="3"/>
  <c r="L97" i="3"/>
  <c r="L181" i="3" s="1"/>
  <c r="Z51" i="2" s="1"/>
  <c r="K97" i="3"/>
  <c r="K181" i="3" s="1"/>
  <c r="Y51" i="2" s="1"/>
  <c r="J97" i="3"/>
  <c r="J181" i="3" s="1"/>
  <c r="X51" i="2" s="1"/>
  <c r="I97" i="3"/>
  <c r="I181" i="3" s="1"/>
  <c r="W51" i="2" s="1"/>
  <c r="D97" i="3"/>
  <c r="D181" i="3" s="1"/>
  <c r="R51" i="2" s="1"/>
  <c r="H97" i="3"/>
  <c r="H181" i="3" s="1"/>
  <c r="V51" i="2" s="1"/>
  <c r="G97" i="3"/>
  <c r="G181" i="3" s="1"/>
  <c r="U51" i="2" s="1"/>
  <c r="E97" i="3"/>
  <c r="E181" i="3" s="1"/>
  <c r="S51" i="2" s="1"/>
  <c r="F97" i="3"/>
  <c r="F181" i="3" s="1"/>
  <c r="T51" i="2" s="1"/>
  <c r="M97" i="3"/>
  <c r="M181" i="3" s="1"/>
  <c r="AA51" i="2" s="1"/>
  <c r="C97" i="3"/>
  <c r="C181" i="3" s="1"/>
  <c r="N97" i="3"/>
  <c r="N181" i="3" s="1"/>
  <c r="AB51" i="2" s="1"/>
  <c r="B224" i="3"/>
  <c r="L98" i="3"/>
  <c r="L182" i="3" s="1"/>
  <c r="Z52" i="2" s="1"/>
  <c r="D98" i="3"/>
  <c r="D182" i="3" s="1"/>
  <c r="R52" i="2" s="1"/>
  <c r="K98" i="3"/>
  <c r="K182" i="3" s="1"/>
  <c r="Y52" i="2" s="1"/>
  <c r="E98" i="3"/>
  <c r="E182" i="3" s="1"/>
  <c r="S52" i="2" s="1"/>
  <c r="J98" i="3"/>
  <c r="J182" i="3" s="1"/>
  <c r="X52" i="2" s="1"/>
  <c r="I98" i="3"/>
  <c r="I182" i="3" s="1"/>
  <c r="W52" i="2" s="1"/>
  <c r="H98" i="3"/>
  <c r="H182" i="3" s="1"/>
  <c r="V52" i="2" s="1"/>
  <c r="G98" i="3"/>
  <c r="G182" i="3" s="1"/>
  <c r="U52" i="2" s="1"/>
  <c r="F98" i="3"/>
  <c r="F182" i="3" s="1"/>
  <c r="T52" i="2" s="1"/>
  <c r="M98" i="3"/>
  <c r="M182" i="3" s="1"/>
  <c r="AA52" i="2" s="1"/>
  <c r="C98" i="3"/>
  <c r="C182" i="3" s="1"/>
  <c r="N98" i="3"/>
  <c r="N182" i="3" s="1"/>
  <c r="AB52" i="2" s="1"/>
  <c r="E46" i="2"/>
  <c r="F46" i="2"/>
  <c r="G46" i="2"/>
  <c r="L46" i="2"/>
  <c r="M46" i="2"/>
  <c r="N46" i="2"/>
  <c r="H46" i="2"/>
  <c r="K46" i="2"/>
  <c r="O46" i="2"/>
  <c r="I46" i="2"/>
  <c r="P46" i="2"/>
  <c r="J46" i="2"/>
  <c r="P52" i="2"/>
  <c r="P65" i="2"/>
  <c r="AN65" i="2" s="1"/>
  <c r="L68" i="2"/>
  <c r="AJ68" i="2" s="1"/>
  <c r="B255" i="3"/>
  <c r="L49" i="2"/>
  <c r="AJ49" i="2" s="1"/>
  <c r="P67" i="2"/>
  <c r="L51" i="2"/>
  <c r="AJ51" i="2" s="1"/>
  <c r="I67" i="2"/>
  <c r="C240" i="3"/>
  <c r="M68" i="2"/>
  <c r="C241" i="3"/>
  <c r="I65" i="2"/>
  <c r="AG65" i="2" s="1"/>
  <c r="C222" i="3"/>
  <c r="C221" i="3"/>
  <c r="C223" i="3"/>
  <c r="C224" i="3"/>
  <c r="I52" i="2"/>
  <c r="AG52" i="2" s="1"/>
  <c r="I50" i="2"/>
  <c r="AG50" i="2" s="1"/>
  <c r="C238" i="3"/>
  <c r="J50" i="2"/>
  <c r="AH50" i="2" s="1"/>
  <c r="J52" i="2"/>
  <c r="AH52" i="2" s="1"/>
  <c r="J67" i="2"/>
  <c r="N68" i="2"/>
  <c r="K50" i="2"/>
  <c r="AI50" i="2" s="1"/>
  <c r="K52" i="2"/>
  <c r="K67" i="2"/>
  <c r="O68" i="2"/>
  <c r="AM68" i="2" s="1"/>
  <c r="H49" i="2"/>
  <c r="AF49" i="2" s="1"/>
  <c r="L50" i="2"/>
  <c r="AJ50" i="2" s="1"/>
  <c r="H51" i="2"/>
  <c r="AF51" i="2" s="1"/>
  <c r="L52" i="2"/>
  <c r="L67" i="2"/>
  <c r="H68" i="2"/>
  <c r="AF68" i="2" s="1"/>
  <c r="P68" i="2"/>
  <c r="AN68" i="2" s="1"/>
  <c r="I49" i="2"/>
  <c r="I51" i="2"/>
  <c r="M52" i="2"/>
  <c r="AK52" i="2" s="1"/>
  <c r="M67" i="2"/>
  <c r="I68" i="2"/>
  <c r="AG68" i="2" s="1"/>
  <c r="J49" i="2"/>
  <c r="J51" i="2"/>
  <c r="AH51" i="2" s="1"/>
  <c r="N52" i="2"/>
  <c r="AL52" i="2" s="1"/>
  <c r="N67" i="2"/>
  <c r="J68" i="2"/>
  <c r="K49" i="2"/>
  <c r="AI49" i="2" s="1"/>
  <c r="K51" i="2"/>
  <c r="AI51" i="2" s="1"/>
  <c r="O52" i="2"/>
  <c r="AM52" i="2" s="1"/>
  <c r="O67" i="2"/>
  <c r="K68" i="2"/>
  <c r="AI68" i="2" s="1"/>
  <c r="H50" i="2"/>
  <c r="H52" i="2"/>
  <c r="AF52" i="2" s="1"/>
  <c r="H67" i="2"/>
  <c r="B86" i="3"/>
  <c r="D87" i="3"/>
  <c r="B130" i="3"/>
  <c r="M46" i="3"/>
  <c r="H87" i="3"/>
  <c r="J87" i="3"/>
  <c r="L87" i="3"/>
  <c r="N87" i="3"/>
  <c r="F87" i="3"/>
  <c r="K87" i="3"/>
  <c r="M87" i="3"/>
  <c r="E87" i="3"/>
  <c r="B29" i="3"/>
  <c r="E46" i="3"/>
  <c r="I46" i="3"/>
  <c r="L46" i="3"/>
  <c r="N46" i="3"/>
  <c r="F46" i="3"/>
  <c r="J46" i="3"/>
  <c r="C67" i="3"/>
  <c r="G67" i="3"/>
  <c r="D26" i="3"/>
  <c r="D46" i="3" s="1"/>
  <c r="G26" i="3"/>
  <c r="C220" i="3"/>
  <c r="C26" i="3"/>
  <c r="B9" i="3"/>
  <c r="C219" i="3" s="1"/>
  <c r="H46" i="3"/>
  <c r="B67" i="3"/>
  <c r="K46" i="3"/>
  <c r="I87" i="3"/>
  <c r="R67" i="2" l="1"/>
  <c r="D213" i="3"/>
  <c r="Y67" i="2"/>
  <c r="K213" i="3"/>
  <c r="AF50" i="2"/>
  <c r="AK67" i="2"/>
  <c r="Q67" i="2"/>
  <c r="B198" i="3"/>
  <c r="C213" i="3"/>
  <c r="AI52" i="2"/>
  <c r="AN52" i="2"/>
  <c r="S67" i="2"/>
  <c r="E213" i="3"/>
  <c r="AA67" i="2"/>
  <c r="M213" i="3"/>
  <c r="AH49" i="2"/>
  <c r="AM67" i="2"/>
  <c r="T67" i="2"/>
  <c r="AF67" i="2" s="1"/>
  <c r="F213" i="3"/>
  <c r="AG49" i="2"/>
  <c r="AL68" i="2"/>
  <c r="B182" i="3"/>
  <c r="E224" i="3" s="1"/>
  <c r="Q52" i="2"/>
  <c r="Q50" i="2"/>
  <c r="B180" i="3"/>
  <c r="E222" i="3" s="1"/>
  <c r="U67" i="2"/>
  <c r="G213" i="3"/>
  <c r="AK68" i="2"/>
  <c r="B181" i="3"/>
  <c r="E223" i="3" s="1"/>
  <c r="Q51" i="2"/>
  <c r="Q68" i="2"/>
  <c r="B199" i="3"/>
  <c r="E241" i="3" s="1"/>
  <c r="X67" i="2"/>
  <c r="AJ67" i="2" s="1"/>
  <c r="J213" i="3"/>
  <c r="AB67" i="2"/>
  <c r="N213" i="3"/>
  <c r="AG51" i="2"/>
  <c r="V67" i="2"/>
  <c r="H213" i="3"/>
  <c r="AN67" i="2"/>
  <c r="AG67" i="2"/>
  <c r="W67" i="2"/>
  <c r="AI67" i="2" s="1"/>
  <c r="I213" i="3"/>
  <c r="Q48" i="2"/>
  <c r="B178" i="3"/>
  <c r="E220" i="3" s="1"/>
  <c r="AJ52" i="2"/>
  <c r="Q49" i="2"/>
  <c r="B179" i="3"/>
  <c r="E221" i="3" s="1"/>
  <c r="Z67" i="2"/>
  <c r="AL67" i="2" s="1"/>
  <c r="L213" i="3"/>
  <c r="C239" i="3"/>
  <c r="C255" i="3" s="1"/>
  <c r="AH68" i="2"/>
  <c r="B236" i="3"/>
  <c r="AH67" i="2"/>
  <c r="P49" i="2"/>
  <c r="AN49" i="2" s="1"/>
  <c r="M51" i="2"/>
  <c r="AK51" i="2" s="1"/>
  <c r="N51" i="2"/>
  <c r="AL51" i="2" s="1"/>
  <c r="M49" i="2"/>
  <c r="AK49" i="2" s="1"/>
  <c r="O50" i="2"/>
  <c r="AM50" i="2" s="1"/>
  <c r="O51" i="2"/>
  <c r="AM51" i="2" s="1"/>
  <c r="M50" i="2"/>
  <c r="AK50" i="2" s="1"/>
  <c r="P51" i="2"/>
  <c r="AN51" i="2" s="1"/>
  <c r="N49" i="2"/>
  <c r="AL49" i="2" s="1"/>
  <c r="N50" i="2"/>
  <c r="AL50" i="2" s="1"/>
  <c r="O49" i="2"/>
  <c r="AM49" i="2" s="1"/>
  <c r="P50" i="2"/>
  <c r="AN50" i="2" s="1"/>
  <c r="AB46" i="2"/>
  <c r="P40" i="2"/>
  <c r="U46" i="2"/>
  <c r="I40" i="2"/>
  <c r="AA46" i="2"/>
  <c r="O40" i="2"/>
  <c r="V46" i="2"/>
  <c r="J40" i="2"/>
  <c r="T46" i="2"/>
  <c r="H40" i="2"/>
  <c r="Z46" i="2"/>
  <c r="N40" i="2"/>
  <c r="W46" i="2"/>
  <c r="K40" i="2"/>
  <c r="Y46" i="2"/>
  <c r="M40" i="2"/>
  <c r="X46" i="2"/>
  <c r="L40" i="2"/>
  <c r="S46" i="2"/>
  <c r="G40" i="2"/>
  <c r="R46" i="2"/>
  <c r="F40" i="2"/>
  <c r="Q46" i="2"/>
  <c r="E40" i="2"/>
  <c r="G68" i="2"/>
  <c r="AE68" i="2" s="1"/>
  <c r="F68" i="2"/>
  <c r="AD68" i="2" s="1"/>
  <c r="G67" i="2"/>
  <c r="AE67" i="2" s="1"/>
  <c r="F51" i="2"/>
  <c r="AD51" i="2" s="1"/>
  <c r="G49" i="2"/>
  <c r="AE49" i="2" s="1"/>
  <c r="G52" i="2"/>
  <c r="AE52" i="2" s="1"/>
  <c r="G50" i="2"/>
  <c r="AE50" i="2" s="1"/>
  <c r="B256" i="3"/>
  <c r="C236" i="3"/>
  <c r="E68" i="2"/>
  <c r="AC68" i="2" s="1"/>
  <c r="E67" i="2"/>
  <c r="AC67" i="2" s="1"/>
  <c r="E51" i="2"/>
  <c r="AC51" i="2" s="1"/>
  <c r="E52" i="2"/>
  <c r="E49" i="2"/>
  <c r="AC49" i="2" s="1"/>
  <c r="E50" i="2"/>
  <c r="AC50" i="2" s="1"/>
  <c r="M65" i="2"/>
  <c r="AK65" i="2" s="1"/>
  <c r="E65" i="2"/>
  <c r="AC65" i="2" s="1"/>
  <c r="B153" i="3"/>
  <c r="N65" i="2"/>
  <c r="AL65" i="2" s="1"/>
  <c r="F65" i="2"/>
  <c r="AD65" i="2" s="1"/>
  <c r="K65" i="2"/>
  <c r="AI65" i="2" s="1"/>
  <c r="J65" i="2"/>
  <c r="H65" i="2"/>
  <c r="AF65" i="2" s="1"/>
  <c r="O65" i="2"/>
  <c r="AM65" i="2" s="1"/>
  <c r="G65" i="2"/>
  <c r="AE65" i="2" s="1"/>
  <c r="L65" i="2"/>
  <c r="AJ65" i="2" s="1"/>
  <c r="B45" i="3"/>
  <c r="L66" i="2"/>
  <c r="AJ66" i="2" s="1"/>
  <c r="K66" i="2"/>
  <c r="AI66" i="2" s="1"/>
  <c r="J66" i="2"/>
  <c r="H66" i="2"/>
  <c r="AF66" i="2" s="1"/>
  <c r="N66" i="2"/>
  <c r="AL66" i="2" s="1"/>
  <c r="J93" i="3"/>
  <c r="I93" i="3"/>
  <c r="H93" i="3"/>
  <c r="C93" i="3"/>
  <c r="C177" i="3" s="1"/>
  <c r="G93" i="3"/>
  <c r="N93" i="3"/>
  <c r="N177" i="3" s="1"/>
  <c r="F93" i="3"/>
  <c r="M93" i="3"/>
  <c r="M177" i="3" s="1"/>
  <c r="E93" i="3"/>
  <c r="E177" i="3" s="1"/>
  <c r="L93" i="3"/>
  <c r="L177" i="3" s="1"/>
  <c r="D93" i="3"/>
  <c r="D177" i="3" s="1"/>
  <c r="K93" i="3"/>
  <c r="K177" i="3" s="1"/>
  <c r="G87" i="3"/>
  <c r="C87" i="3"/>
  <c r="G46" i="3"/>
  <c r="C46" i="3"/>
  <c r="B26" i="3"/>
  <c r="B87" i="3"/>
  <c r="E240" i="3" l="1"/>
  <c r="B213" i="3"/>
  <c r="AB47" i="2"/>
  <c r="N194" i="3"/>
  <c r="N214" i="3" s="1"/>
  <c r="K47" i="2"/>
  <c r="I177" i="3"/>
  <c r="J47" i="2"/>
  <c r="H177" i="3"/>
  <c r="I47" i="2"/>
  <c r="G177" i="3"/>
  <c r="Q47" i="2"/>
  <c r="C194" i="3"/>
  <c r="C214" i="3" s="1"/>
  <c r="Z47" i="2"/>
  <c r="L194" i="3"/>
  <c r="L214" i="3" s="1"/>
  <c r="AC52" i="2"/>
  <c r="R47" i="2"/>
  <c r="D194" i="3"/>
  <c r="D214" i="3" s="1"/>
  <c r="L47" i="2"/>
  <c r="J177" i="3"/>
  <c r="AA47" i="2"/>
  <c r="M194" i="3"/>
  <c r="M214" i="3" s="1"/>
  <c r="Y47" i="2"/>
  <c r="K194" i="3"/>
  <c r="K214" i="3" s="1"/>
  <c r="S47" i="2"/>
  <c r="E194" i="3"/>
  <c r="E214" i="3" s="1"/>
  <c r="H47" i="2"/>
  <c r="F177" i="3"/>
  <c r="AH66" i="2"/>
  <c r="AH65" i="2"/>
  <c r="O47" i="2"/>
  <c r="AM47" i="2" s="1"/>
  <c r="P47" i="2"/>
  <c r="AN47" i="2" s="1"/>
  <c r="M47" i="2"/>
  <c r="N47" i="2"/>
  <c r="AL47" i="2" s="1"/>
  <c r="AD46" i="2"/>
  <c r="AD40" i="2" s="1"/>
  <c r="R40" i="2"/>
  <c r="AF46" i="2"/>
  <c r="AF40" i="2" s="1"/>
  <c r="T40" i="2"/>
  <c r="AL46" i="2"/>
  <c r="AL40" i="2" s="1"/>
  <c r="Z40" i="2"/>
  <c r="AE46" i="2"/>
  <c r="AE40" i="2" s="1"/>
  <c r="S40" i="2"/>
  <c r="AH46" i="2"/>
  <c r="AH40" i="2" s="1"/>
  <c r="V40" i="2"/>
  <c r="AJ46" i="2"/>
  <c r="AJ40" i="2" s="1"/>
  <c r="X40" i="2"/>
  <c r="AM46" i="2"/>
  <c r="AM40" i="2" s="1"/>
  <c r="AA40" i="2"/>
  <c r="AC46" i="2"/>
  <c r="AC40" i="2" s="1"/>
  <c r="Q40" i="2"/>
  <c r="AK46" i="2"/>
  <c r="AK40" i="2" s="1"/>
  <c r="Y40" i="2"/>
  <c r="AG46" i="2"/>
  <c r="AG40" i="2" s="1"/>
  <c r="U40" i="2"/>
  <c r="AI46" i="2"/>
  <c r="AI40" i="2" s="1"/>
  <c r="W40" i="2"/>
  <c r="AN46" i="2"/>
  <c r="AN40" i="2" s="1"/>
  <c r="AB40" i="2"/>
  <c r="AF82" i="2"/>
  <c r="AJ82" i="2"/>
  <c r="AI82" i="2"/>
  <c r="AL82" i="2"/>
  <c r="B156" i="3"/>
  <c r="D241" i="3" s="1"/>
  <c r="F241" i="3" s="1"/>
  <c r="B138" i="3"/>
  <c r="D223" i="3" s="1"/>
  <c r="F223" i="3" s="1"/>
  <c r="B139" i="3"/>
  <c r="D224" i="3" s="1"/>
  <c r="F224" i="3" s="1"/>
  <c r="B155" i="3"/>
  <c r="D240" i="3" s="1"/>
  <c r="B136" i="3"/>
  <c r="D221" i="3" s="1"/>
  <c r="F221" i="3" s="1"/>
  <c r="F67" i="2"/>
  <c r="AD67" i="2" s="1"/>
  <c r="B137" i="3"/>
  <c r="D222" i="3" s="1"/>
  <c r="F222" i="3" s="1"/>
  <c r="F50" i="2"/>
  <c r="AD50" i="2" s="1"/>
  <c r="F66" i="2"/>
  <c r="F52" i="2"/>
  <c r="AD52" i="2" s="1"/>
  <c r="F49" i="2"/>
  <c r="AD49" i="2" s="1"/>
  <c r="F47" i="2"/>
  <c r="AD47" i="2" s="1"/>
  <c r="G47" i="2"/>
  <c r="AE47" i="2" s="1"/>
  <c r="G51" i="2"/>
  <c r="AE51" i="2" s="1"/>
  <c r="T82" i="2"/>
  <c r="X82" i="2"/>
  <c r="W82" i="2"/>
  <c r="Z82" i="2"/>
  <c r="E47" i="2"/>
  <c r="AC47" i="2" s="1"/>
  <c r="C256" i="3"/>
  <c r="J129" i="3"/>
  <c r="I170" i="3"/>
  <c r="L110" i="3"/>
  <c r="E129" i="3"/>
  <c r="M129" i="3"/>
  <c r="F170" i="3"/>
  <c r="C129" i="3"/>
  <c r="I129" i="3"/>
  <c r="D129" i="3"/>
  <c r="F129" i="3"/>
  <c r="J170" i="3"/>
  <c r="H170" i="3"/>
  <c r="G129" i="3"/>
  <c r="H129" i="3"/>
  <c r="L170" i="3"/>
  <c r="N129" i="3"/>
  <c r="L129" i="3"/>
  <c r="K129" i="3"/>
  <c r="K48" i="2"/>
  <c r="AI48" i="2" s="1"/>
  <c r="I151" i="3"/>
  <c r="G110" i="3"/>
  <c r="L48" i="2"/>
  <c r="AJ48" i="2" s="1"/>
  <c r="J151" i="3"/>
  <c r="P48" i="2"/>
  <c r="AN48" i="2" s="1"/>
  <c r="N151" i="3"/>
  <c r="C151" i="3"/>
  <c r="E48" i="2"/>
  <c r="AC48" i="2" s="1"/>
  <c r="K110" i="3"/>
  <c r="N48" i="2"/>
  <c r="AL48" i="2" s="1"/>
  <c r="O48" i="2"/>
  <c r="AM48" i="2" s="1"/>
  <c r="F48" i="2"/>
  <c r="AD48" i="2" s="1"/>
  <c r="I110" i="3"/>
  <c r="J48" i="2"/>
  <c r="AH48" i="2" s="1"/>
  <c r="H151" i="3"/>
  <c r="G48" i="2"/>
  <c r="AE48" i="2" s="1"/>
  <c r="E151" i="3"/>
  <c r="H48" i="2"/>
  <c r="AF48" i="2" s="1"/>
  <c r="F151" i="3"/>
  <c r="L82" i="2"/>
  <c r="D238" i="3"/>
  <c r="F238" i="3" s="1"/>
  <c r="H82" i="2"/>
  <c r="J82" i="2"/>
  <c r="N82" i="2"/>
  <c r="B46" i="3"/>
  <c r="K82" i="2"/>
  <c r="E110" i="3"/>
  <c r="J110" i="3"/>
  <c r="M110" i="3"/>
  <c r="F110" i="3"/>
  <c r="N110" i="3"/>
  <c r="C110" i="3"/>
  <c r="D110" i="3"/>
  <c r="H110" i="3"/>
  <c r="X47" i="2" l="1"/>
  <c r="AJ47" i="2" s="1"/>
  <c r="AJ64" i="2" s="1"/>
  <c r="AJ41" i="2" s="1"/>
  <c r="J194" i="3"/>
  <c r="J214" i="3" s="1"/>
  <c r="T47" i="2"/>
  <c r="AF47" i="2" s="1"/>
  <c r="AF64" i="2" s="1"/>
  <c r="AF41" i="2" s="1"/>
  <c r="F194" i="3"/>
  <c r="F214" i="3" s="1"/>
  <c r="W47" i="2"/>
  <c r="W64" i="2" s="1"/>
  <c r="W41" i="2" s="1"/>
  <c r="I194" i="3"/>
  <c r="I214" i="3" s="1"/>
  <c r="AI47" i="2"/>
  <c r="AI64" i="2" s="1"/>
  <c r="AI41" i="2" s="1"/>
  <c r="U47" i="2"/>
  <c r="AG47" i="2" s="1"/>
  <c r="G194" i="3"/>
  <c r="G214" i="3" s="1"/>
  <c r="V47" i="2"/>
  <c r="AH47" i="2" s="1"/>
  <c r="AH64" i="2" s="1"/>
  <c r="H194" i="3"/>
  <c r="H214" i="3" s="1"/>
  <c r="AK47" i="2"/>
  <c r="B177" i="3"/>
  <c r="F240" i="3"/>
  <c r="E255" i="3"/>
  <c r="AH82" i="2"/>
  <c r="V82" i="2"/>
  <c r="M151" i="3"/>
  <c r="L151" i="3"/>
  <c r="L171" i="3" s="1"/>
  <c r="AC64" i="2"/>
  <c r="Z64" i="2"/>
  <c r="Z41" i="2" s="1"/>
  <c r="AL64" i="2"/>
  <c r="AL41" i="2" s="1"/>
  <c r="AD64" i="2"/>
  <c r="V64" i="2"/>
  <c r="AE64" i="2"/>
  <c r="X64" i="2"/>
  <c r="X41" i="2" s="1"/>
  <c r="AB64" i="2"/>
  <c r="AN64" i="2"/>
  <c r="AA64" i="2"/>
  <c r="AM64" i="2"/>
  <c r="D219" i="3"/>
  <c r="D151" i="3"/>
  <c r="D170" i="3"/>
  <c r="AD66" i="2"/>
  <c r="F82" i="2"/>
  <c r="R64" i="2"/>
  <c r="S64" i="2"/>
  <c r="K130" i="3"/>
  <c r="D130" i="3"/>
  <c r="N130" i="3"/>
  <c r="I130" i="3"/>
  <c r="J130" i="3"/>
  <c r="I171" i="3"/>
  <c r="F130" i="3"/>
  <c r="J171" i="3"/>
  <c r="L130" i="3"/>
  <c r="M130" i="3"/>
  <c r="G130" i="3"/>
  <c r="F171" i="3"/>
  <c r="E130" i="3"/>
  <c r="H171" i="3"/>
  <c r="H130" i="3"/>
  <c r="B154" i="3"/>
  <c r="E66" i="2"/>
  <c r="C170" i="3"/>
  <c r="C171" i="3" s="1"/>
  <c r="O66" i="2"/>
  <c r="AM66" i="2" s="1"/>
  <c r="M170" i="3"/>
  <c r="M66" i="2"/>
  <c r="K170" i="3"/>
  <c r="I66" i="2"/>
  <c r="AG66" i="2" s="1"/>
  <c r="G170" i="3"/>
  <c r="G66" i="2"/>
  <c r="AE66" i="2" s="1"/>
  <c r="E170" i="3"/>
  <c r="E171" i="3" s="1"/>
  <c r="P66" i="2"/>
  <c r="AN66" i="2" s="1"/>
  <c r="N170" i="3"/>
  <c r="N171" i="3" s="1"/>
  <c r="C130" i="3"/>
  <c r="N64" i="2"/>
  <c r="N41" i="2" s="1"/>
  <c r="F64" i="2"/>
  <c r="K151" i="3"/>
  <c r="M48" i="2"/>
  <c r="AK48" i="2" s="1"/>
  <c r="G64" i="2"/>
  <c r="O64" i="2"/>
  <c r="P64" i="2"/>
  <c r="L64" i="2"/>
  <c r="L41" i="2" s="1"/>
  <c r="J64" i="2"/>
  <c r="J41" i="2" s="1"/>
  <c r="Q64" i="2"/>
  <c r="E64" i="2"/>
  <c r="I48" i="2"/>
  <c r="AG48" i="2" s="1"/>
  <c r="G151" i="3"/>
  <c r="B135" i="3"/>
  <c r="H64" i="2"/>
  <c r="H41" i="2" s="1"/>
  <c r="K64" i="2"/>
  <c r="K41" i="2" s="1"/>
  <c r="T64" i="2" l="1"/>
  <c r="T41" i="2" s="1"/>
  <c r="E219" i="3"/>
  <c r="B194" i="3"/>
  <c r="B214" i="3" s="1"/>
  <c r="AH41" i="2"/>
  <c r="V41" i="2"/>
  <c r="AK66" i="2"/>
  <c r="AK82" i="2" s="1"/>
  <c r="M171" i="3"/>
  <c r="M172" i="3" s="1"/>
  <c r="L172" i="3"/>
  <c r="F41" i="2"/>
  <c r="AC66" i="2"/>
  <c r="AC82" i="2" s="1"/>
  <c r="AC41" i="2" s="1"/>
  <c r="AC42" i="2" s="1"/>
  <c r="E172" i="3"/>
  <c r="C172" i="3"/>
  <c r="C173" i="3" s="1"/>
  <c r="F172" i="3"/>
  <c r="R82" i="2"/>
  <c r="R41" i="2" s="1"/>
  <c r="AD82" i="2"/>
  <c r="AD41" i="2" s="1"/>
  <c r="Y64" i="2"/>
  <c r="AK64" i="2"/>
  <c r="U82" i="2"/>
  <c r="AG82" i="2"/>
  <c r="U64" i="2"/>
  <c r="AG64" i="2"/>
  <c r="J172" i="3"/>
  <c r="S82" i="2"/>
  <c r="S41" i="2" s="1"/>
  <c r="AE82" i="2"/>
  <c r="AE41" i="2" s="1"/>
  <c r="AB82" i="2"/>
  <c r="AB41" i="2" s="1"/>
  <c r="AN82" i="2"/>
  <c r="AN41" i="2" s="1"/>
  <c r="H172" i="3"/>
  <c r="I172" i="3"/>
  <c r="AA82" i="2"/>
  <c r="AA41" i="2" s="1"/>
  <c r="AM82" i="2"/>
  <c r="AM41" i="2" s="1"/>
  <c r="N172" i="3"/>
  <c r="D171" i="3"/>
  <c r="D172" i="3" s="1"/>
  <c r="K171" i="3"/>
  <c r="K172" i="3" s="1"/>
  <c r="I82" i="2"/>
  <c r="P82" i="2"/>
  <c r="P41" i="2" s="1"/>
  <c r="Q82" i="2"/>
  <c r="Q41" i="2" s="1"/>
  <c r="E82" i="2"/>
  <c r="E85" i="2" s="1"/>
  <c r="E83" i="2" s="1"/>
  <c r="G171" i="3"/>
  <c r="G172" i="3" s="1"/>
  <c r="M82" i="2"/>
  <c r="G82" i="2"/>
  <c r="G41" i="2" s="1"/>
  <c r="D239" i="3"/>
  <c r="F239" i="3" s="1"/>
  <c r="B170" i="3"/>
  <c r="O82" i="2"/>
  <c r="O41" i="2" s="1"/>
  <c r="M64" i="2"/>
  <c r="I64" i="2"/>
  <c r="D220" i="3"/>
  <c r="F220" i="3" s="1"/>
  <c r="B151" i="3"/>
  <c r="F219" i="3" l="1"/>
  <c r="E236" i="3"/>
  <c r="E256" i="3" s="1"/>
  <c r="Y82" i="2"/>
  <c r="Y41" i="2" s="1"/>
  <c r="I41" i="2"/>
  <c r="E41" i="2"/>
  <c r="M41" i="2"/>
  <c r="AK41" i="2"/>
  <c r="AG41" i="2"/>
  <c r="U41" i="2"/>
  <c r="AD42" i="2"/>
  <c r="AE42" i="2" s="1"/>
  <c r="AF42" i="2" s="1"/>
  <c r="Q42" i="2"/>
  <c r="R42" i="2" s="1"/>
  <c r="S42" i="2" s="1"/>
  <c r="T42" i="2" s="1"/>
  <c r="D173" i="3"/>
  <c r="E173" i="3" s="1"/>
  <c r="F173" i="3" s="1"/>
  <c r="G173" i="3" s="1"/>
  <c r="H173" i="3" s="1"/>
  <c r="I173" i="3" s="1"/>
  <c r="J173" i="3" s="1"/>
  <c r="K173" i="3" s="1"/>
  <c r="L173" i="3" s="1"/>
  <c r="M173" i="3" s="1"/>
  <c r="N173" i="3" s="1"/>
  <c r="D255" i="3"/>
  <c r="F255" i="3" s="1"/>
  <c r="F85" i="2"/>
  <c r="F84" i="2" s="1"/>
  <c r="E84" i="2"/>
  <c r="B171" i="3"/>
  <c r="D236" i="3"/>
  <c r="F236" i="3" s="1"/>
  <c r="E42" i="2" l="1"/>
  <c r="F42" i="2" s="1"/>
  <c r="G42" i="2" s="1"/>
  <c r="H42" i="2" s="1"/>
  <c r="I42" i="2" s="1"/>
  <c r="J42" i="2" s="1"/>
  <c r="K42" i="2" s="1"/>
  <c r="L42" i="2" s="1"/>
  <c r="M42" i="2" s="1"/>
  <c r="N42" i="2" s="1"/>
  <c r="O42" i="2" s="1"/>
  <c r="P42" i="2" s="1"/>
  <c r="E43" i="2"/>
  <c r="F43" i="2" s="1"/>
  <c r="G43" i="2" s="1"/>
  <c r="H43" i="2" s="1"/>
  <c r="I43" i="2" s="1"/>
  <c r="J43" i="2" s="1"/>
  <c r="K43" i="2" s="1"/>
  <c r="L43" i="2" s="1"/>
  <c r="M43" i="2" s="1"/>
  <c r="N43" i="2" s="1"/>
  <c r="O43" i="2" s="1"/>
  <c r="P43" i="2" s="1"/>
  <c r="Q43" i="2" s="1"/>
  <c r="R43" i="2" s="1"/>
  <c r="S43" i="2" s="1"/>
  <c r="T43" i="2" s="1"/>
  <c r="U43" i="2" s="1"/>
  <c r="V43" i="2" s="1"/>
  <c r="W43" i="2" s="1"/>
  <c r="X43" i="2" s="1"/>
  <c r="Y43" i="2" s="1"/>
  <c r="Z43" i="2" s="1"/>
  <c r="AA43" i="2" s="1"/>
  <c r="AB43" i="2" s="1"/>
  <c r="AC43" i="2" s="1"/>
  <c r="AD43" i="2" s="1"/>
  <c r="AE43" i="2" s="1"/>
  <c r="AF43" i="2" s="1"/>
  <c r="AG43" i="2" s="1"/>
  <c r="AH43" i="2" s="1"/>
  <c r="AI43" i="2" s="1"/>
  <c r="AJ43" i="2" s="1"/>
  <c r="AK43" i="2" s="1"/>
  <c r="AL43" i="2" s="1"/>
  <c r="AM43" i="2" s="1"/>
  <c r="AN43" i="2" s="1"/>
  <c r="AG42" i="2"/>
  <c r="AH42" i="2" s="1"/>
  <c r="AI42" i="2" s="1"/>
  <c r="AJ42" i="2" s="1"/>
  <c r="AK42" i="2" s="1"/>
  <c r="AL42" i="2" s="1"/>
  <c r="AM42" i="2" s="1"/>
  <c r="AN42" i="2" s="1"/>
  <c r="U42" i="2"/>
  <c r="V42" i="2" s="1"/>
  <c r="W42" i="2" s="1"/>
  <c r="X42" i="2" s="1"/>
  <c r="Y42" i="2" s="1"/>
  <c r="Z42" i="2" s="1"/>
  <c r="AA42" i="2" s="1"/>
  <c r="AB42" i="2" s="1"/>
  <c r="F83" i="2"/>
  <c r="G85" i="2"/>
  <c r="D256" i="3"/>
  <c r="F256" i="3" s="1"/>
  <c r="H85" i="2" l="1"/>
  <c r="G84" i="2"/>
  <c r="G83" i="2"/>
  <c r="H84" i="2" l="1"/>
  <c r="H83" i="2"/>
  <c r="I85" i="2"/>
  <c r="I83" i="2" l="1"/>
  <c r="I84" i="2"/>
  <c r="J85" i="2"/>
  <c r="J84" i="2" l="1"/>
  <c r="K85" i="2"/>
  <c r="J83" i="2"/>
  <c r="K83" i="2" l="1"/>
  <c r="L85" i="2"/>
  <c r="K84" i="2"/>
  <c r="M85" i="2" l="1"/>
  <c r="L83" i="2"/>
  <c r="L84" i="2"/>
  <c r="M83" i="2" l="1"/>
  <c r="M84" i="2"/>
  <c r="N85" i="2"/>
  <c r="O85" i="2" l="1"/>
  <c r="N83" i="2"/>
  <c r="N84" i="2"/>
  <c r="P85" i="2" l="1"/>
  <c r="O83" i="2"/>
  <c r="O84" i="2"/>
  <c r="Q85" i="2" l="1"/>
  <c r="P83" i="2"/>
  <c r="P84" i="2"/>
  <c r="Q83" i="2" l="1"/>
  <c r="Q84" i="2"/>
  <c r="R85" i="2"/>
  <c r="R83" i="2" l="1"/>
  <c r="R84" i="2"/>
  <c r="S85" i="2"/>
  <c r="S83" i="2" l="1"/>
  <c r="S84" i="2"/>
  <c r="T85" i="2"/>
  <c r="T84" i="2" l="1"/>
  <c r="U85" i="2"/>
  <c r="T83" i="2"/>
  <c r="U83" i="2" l="1"/>
  <c r="V85" i="2"/>
  <c r="U84" i="2"/>
  <c r="W85" i="2" l="1"/>
  <c r="V84" i="2"/>
  <c r="V83" i="2"/>
  <c r="X85" i="2" l="1"/>
  <c r="W83" i="2"/>
  <c r="W84" i="2"/>
  <c r="Y85" i="2" l="1"/>
  <c r="X83" i="2"/>
  <c r="X84" i="2"/>
  <c r="Y83" i="2" l="1"/>
  <c r="Z85" i="2"/>
  <c r="Y84" i="2"/>
  <c r="Z83" i="2" l="1"/>
  <c r="Z84" i="2"/>
  <c r="AA85" i="2"/>
  <c r="AB85" i="2" s="1"/>
  <c r="AB83" i="2" l="1"/>
  <c r="AC85" i="2"/>
  <c r="AB84" i="2"/>
  <c r="AA83" i="2"/>
  <c r="AA84" i="2"/>
  <c r="AC83" i="2" l="1"/>
  <c r="AC84" i="2"/>
  <c r="AD85" i="2"/>
  <c r="AD83" i="2" l="1"/>
  <c r="AD84" i="2"/>
  <c r="AE85" i="2"/>
  <c r="AE83" i="2" l="1"/>
  <c r="AF85" i="2"/>
  <c r="AE84" i="2"/>
  <c r="AF84" i="2" l="1"/>
  <c r="AF83" i="2"/>
  <c r="AG85" i="2"/>
  <c r="AH85" i="2" l="1"/>
  <c r="AG84" i="2"/>
  <c r="AG83" i="2"/>
  <c r="AI85" i="2" l="1"/>
  <c r="AH84" i="2"/>
  <c r="AH83" i="2"/>
  <c r="AI83" i="2" l="1"/>
  <c r="AI84" i="2"/>
  <c r="AJ85" i="2"/>
  <c r="AJ83" i="2" l="1"/>
  <c r="AK85" i="2"/>
  <c r="AJ84" i="2"/>
  <c r="AL85" i="2" l="1"/>
  <c r="AK84" i="2"/>
  <c r="AK83" i="2"/>
  <c r="AM85" i="2" l="1"/>
  <c r="AL84" i="2"/>
  <c r="AL83" i="2"/>
  <c r="AN85" i="2" l="1"/>
  <c r="AM84" i="2"/>
  <c r="AM83" i="2"/>
  <c r="AN84" i="2" l="1"/>
  <c r="AN8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Swanson</author>
  </authors>
  <commentList>
    <comment ref="B2" authorId="0" shapeId="0" xr:uid="{00000000-0006-0000-0100-000001000000}">
      <text>
        <r>
          <rPr>
            <b/>
            <sz val="9"/>
            <color indexed="81"/>
            <rFont val="Tahoma"/>
            <family val="2"/>
          </rPr>
          <t>Click on cell for menu</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Swanson</author>
  </authors>
  <commentList>
    <comment ref="C46" authorId="0" shapeId="0" xr:uid="{00000000-0006-0000-0200-000001000000}">
      <text>
        <r>
          <rPr>
            <b/>
            <sz val="9"/>
            <color rgb="FF000000"/>
            <rFont val="Tahoma"/>
            <family val="2"/>
          </rPr>
          <t>Input in $ Thousands</t>
        </r>
        <r>
          <rPr>
            <sz val="9"/>
            <color rgb="FF000000"/>
            <rFont val="Tahoma"/>
            <family val="2"/>
          </rPr>
          <t xml:space="preserve">
</t>
        </r>
      </text>
    </comment>
  </commentList>
</comments>
</file>

<file path=xl/sharedStrings.xml><?xml version="1.0" encoding="utf-8"?>
<sst xmlns="http://schemas.openxmlformats.org/spreadsheetml/2006/main" count="716" uniqueCount="224">
  <si>
    <t>Cash Balance</t>
  </si>
  <si>
    <t>Cash Bal-Negative</t>
  </si>
  <si>
    <t>Cash Bal-Positive</t>
  </si>
  <si>
    <t>Outflows</t>
  </si>
  <si>
    <t>Inflows</t>
  </si>
  <si>
    <t>DATA INPUT WORKSHEET</t>
  </si>
  <si>
    <t>REVENUES (SOURCES):</t>
  </si>
  <si>
    <t>EXPENSES (USES):</t>
  </si>
  <si>
    <t xml:space="preserve">TOTAL SOURCES &gt; </t>
  </si>
  <si>
    <t xml:space="preserve">TOTAL USES &gt; </t>
  </si>
  <si>
    <t xml:space="preserve">NET &gt; </t>
  </si>
  <si>
    <t>NOTE: INPUT IN BLUE-SHADED CELLS ONLY</t>
  </si>
  <si>
    <t>AVG. RATE</t>
  </si>
  <si>
    <t>Starting Balance &gt;</t>
  </si>
  <si>
    <t>ACCOUNT GROUP</t>
  </si>
  <si>
    <t>ACCOUNT TYPE</t>
  </si>
  <si>
    <t>PRIMARY DRIVERS</t>
  </si>
  <si>
    <t>SECONDARY VARIABLES</t>
  </si>
  <si>
    <t>OTHER VARIABLES</t>
  </si>
  <si>
    <t>PROPERTY TAX</t>
  </si>
  <si>
    <t>GENERAL, TAX INCREMENT, SPECIAL PURPOSE</t>
  </si>
  <si>
    <t>ASSESSED VALUE (COMMERCIAL, RESIDENTIAL, OTHER), MILLAGE RATES, COLLECTION RATES</t>
  </si>
  <si>
    <t>NEW CONSTRUCTION, ANNEXATIONS, FORECLOSURES, AV APPEALS, MARKET VALUE, HOUSING PRICE INDEX</t>
  </si>
  <si>
    <t>POPULATION, NO. HOUSEHOLDS, NO. BUSINESSES, STATE GDP AND LOCAL ECONOMIC ACTIVITY</t>
  </si>
  <si>
    <t>SALES AND USE TAX</t>
  </si>
  <si>
    <t>GENERAL, PUBLIC SAFETY, TEMPORARY, SPECIAL PURPOSE</t>
  </si>
  <si>
    <t>SALES TAX RECEIPTS (BY BUSINESS CATEGORY), DIRECT SALES TAX RATE</t>
  </si>
  <si>
    <t>POPULATION (SEASONAL DAYTIME AND RESIDENTIAL), NO. HOUSEHOLDS, NO. BUSINESSES, STATE GDP AND LOCAL ECONOMIC ACTIVITY</t>
  </si>
  <si>
    <t>PERSONAL INCOME PER CAPITA, UNEMPLOYMENT RATE, INFLATION</t>
  </si>
  <si>
    <t>UTILITY USERS TAX AND FRANCHISE FEES</t>
  </si>
  <si>
    <t>ELECTRICITY, GAS, SEWER, WATER, TELECOMM, OTHER</t>
  </si>
  <si>
    <t>UTILITY CONSUMPTION/USE (ELECTRICITY, GAS, SEWER, WATER, TELEPHONE, ETC.), UUT RATE, FRANCHISE FEE (% RECEIPTS)</t>
  </si>
  <si>
    <t>COST OF ENERGY, WATER, OTHER DIRECT UTILITY COSTS; PERSONAL INCOME PER CAPITA, UNEMPLOYMENT RATE, INFLATION</t>
  </si>
  <si>
    <t>TRANSIENT OCCUPANCY TAX</t>
  </si>
  <si>
    <t>HOTEL/MOTEL TAX, SPECIAL PURPOSE</t>
  </si>
  <si>
    <t>HOTEL/MOTEL VACANCY RATES, ROOM/BED TAX RATES</t>
  </si>
  <si>
    <t>LICENSES AND PERMITS</t>
  </si>
  <si>
    <t>BUSINESS LICENSES, ANIMAL LICENSES, BUILDING PERMITS, DEVELOPER PERMITS AND FEES</t>
  </si>
  <si>
    <t>NO. PERMITS AND LICENSES ISSUED, LICENSE AND PERMIT FEES</t>
  </si>
  <si>
    <t>DEVELOPMENT ACTIVITY, PERSONAL INCOME PER CAPITA, UNEMPLOYMENT RATE, INFLATION</t>
  </si>
  <si>
    <t>FINES AND FORFEITURES</t>
  </si>
  <si>
    <t>TRAFFIC FINES, COURT FINES AND FORFEITURES</t>
  </si>
  <si>
    <t>NO. CITATIONS AND INFRACTIONS, FEES AND PENALTIES</t>
  </si>
  <si>
    <t>CHARGES FOR SERVICES</t>
  </si>
  <si>
    <t>UTILITY CHARGES, MUNICIPAL SERVICES (AIRPORT, PARKS AND RECREATION, GOLF, ETC.), INTERNAL SERVICE CHARGES</t>
  </si>
  <si>
    <t>SERVICE LEVEL AND FEE SCHEDULES</t>
  </si>
  <si>
    <t>DEMAND FOR SERVICES, DEVELOPMENT ACTIVITY, BUSINESS ACTIVITY, PERSONAL INCOME PER CAPITA, UNEMPLOYMENT RATE, INFLATION</t>
  </si>
  <si>
    <t>USE OF MONEY AND PROPERTY</t>
  </si>
  <si>
    <t>INTEREST INCOME, PUBLIC FACILITY LEASE AND RENTAL</t>
  </si>
  <si>
    <t>INVESTED CASH BALANCES AND YIELDS, RENTAL PROPERTY LEASE RATES</t>
  </si>
  <si>
    <t>PROJECTED SURPLUS/(DEFICIT), COST OF MONEY (FED AND BANK RATES), RENTAL MARKET ACTIVITY, VACANCY RATES</t>
  </si>
  <si>
    <t>PREVAILING ECONOMIC CONDITIONS, INFLATION</t>
  </si>
  <si>
    <t>INTERGOVERNMENTAL REVENUES</t>
  </si>
  <si>
    <t>FEDERAL, STATE AND LOCAL GRANT AND REVENUE-SHARING</t>
  </si>
  <si>
    <t>FEDERAL, STATE AND LOCAL GRANTS, REVENUE-SHARING AGREEMENTS</t>
  </si>
  <si>
    <t>NO. PROGRAM RECIPIENTS (MEDICAID, OTHER SUPPORT BENEFITS), LEGISLATIVE AND POLITICAL ACTIVITY</t>
  </si>
  <si>
    <t>POPULATION, NO. HOUSEHOLDS, NO. BUSINESSES, NATIONAL, STATE GDP AND LOCAL ECONOMIC ACTIVITY</t>
  </si>
  <si>
    <t>SALARIES AND WAGES</t>
  </si>
  <si>
    <t>REGULAR, PART-TIME, TEMPORARY AND SPECIAL WAGES</t>
  </si>
  <si>
    <t>NO. STAFF AND PERSONNEL, FULL-TIME, PART-TIME AND SPECIAL WAGES</t>
  </si>
  <si>
    <t>CONTRACTUAL COMMITMENTS (LABOR AGREEMENTS), APPROVED STAFF LEVELS</t>
  </si>
  <si>
    <t>LABOR MARKET RATES, UNEMPLOYMENT RATE</t>
  </si>
  <si>
    <t>PENSION AND RETIREMENT</t>
  </si>
  <si>
    <t>EMPLOYER AND EMPLOYEE RETIREMENT CONTRIBUTIONS AND PENSION ADMINISTRATION COSTS</t>
  </si>
  <si>
    <t>NO. STAFF, AVERAGE ANNUAL ER/EE PENSION CONTRIBUTION RATES</t>
  </si>
  <si>
    <t>PROJECTED PENSION PORTFOLIO YIELDS, UNFUNDED LIABILITIES</t>
  </si>
  <si>
    <t>HEALTHCARE AND OTHER BENEFITS</t>
  </si>
  <si>
    <t>MEDICAL/DENTAL/VISION INSURANCE PREMIUMS, FICA, MEDICARE, DISABILITY, WORKERS COMPENSATION, UNIFORM, AUTO AND OTHER ALLOWANCES</t>
  </si>
  <si>
    <t>NO. STAFF, AVERAGE ANNUAL HEALTHCARE AND LIFE PREMIUMS OR SELF-INSURED COST INCREASE; FICA/MEDICARE AND REGULATORY REQUIREMENTS RE. WORKERS COMP., ETC.</t>
  </si>
  <si>
    <t>MEDICAL COST TRENDS, CHANGE IN FICA/MEDICARE CONTRIBUTION, WORKERS COMP CHANGES</t>
  </si>
  <si>
    <t>CONTRACT AND PROFESSIONAL SERVICES</t>
  </si>
  <si>
    <t>OUTSOURCED SERVICES, EXPERT AND CONSULTING SERVICES, RECURRING SUPPORT SERVICES</t>
  </si>
  <si>
    <t>DEMAND FOR SERVICES, NO. STAFF, LEVEL OF OUTSOURCING, INFLATION</t>
  </si>
  <si>
    <t>SOURCING CONTRACTUAL TERMS</t>
  </si>
  <si>
    <t>MAINTENANCE AND REPAIR</t>
  </si>
  <si>
    <t>EQUIPMENT / FACILITIES / FLEET MAINTENANCE AND REPAIR</t>
  </si>
  <si>
    <t>MATERIALS AND SUPPLIES</t>
  </si>
  <si>
    <t>OFFICE SUPPLIES, SPECIAL MATERIALS, FUEL, CONSUMABLES, OTHER MATERIALS AND SUPPLIES</t>
  </si>
  <si>
    <t>CAPITAL PROJECTS</t>
  </si>
  <si>
    <t>CAPITAL IMPROVEMENT PROJECTS</t>
  </si>
  <si>
    <t>CAPITAL IMPROVEMENTS PROGRAM, MULTI-YEAR CIP</t>
  </si>
  <si>
    <t>AVAILABILITY OF DISCRETIONARY FUNDING, POLICY GOALS FOR CAPITAL INVESTMENT</t>
  </si>
  <si>
    <t>INFRASTRUCTURE REPAIR BACKLOG, GENERAL/MASTER PLAN REQUIREMENTS</t>
  </si>
  <si>
    <t>DEBT EXPENSE</t>
  </si>
  <si>
    <t>LONG-TERM / SHORT-TERM BONDS, NOTES, LEASES</t>
  </si>
  <si>
    <t>DEBT SCHEDULE (PRINCIPAL AND INTEREST PAYMENTS), BROKERS AND AGENTS FEES, DEFEASANCE FEES</t>
  </si>
  <si>
    <t>POLICY AND REGULATORY DEBT CONSTRAINTS</t>
  </si>
  <si>
    <t>PREVAILING ECONOMIC CONDITIONS, COST OF MONEY, INFLATION</t>
  </si>
  <si>
    <t>Revenue and Expenditure Forecasting Indicators</t>
  </si>
  <si>
    <t>Worksheet 2-Data Input and Assumptions</t>
  </si>
  <si>
    <t>Worksheet 3-Cash Flow Chart</t>
  </si>
  <si>
    <t>Questions and Feedback?</t>
  </si>
  <si>
    <t>↓CLICK ON CELL↓</t>
  </si>
  <si>
    <r>
      <t xml:space="preserve">A detailed cash flow forecasting model will also include a more thorough analysis and projection of economic, operating, contractual and other factors impacting revenues and expenditures, such as capital programs, debt expense and other examples included in the reference chart on the </t>
    </r>
    <r>
      <rPr>
        <b/>
        <i/>
        <sz val="12"/>
        <rFont val="Arial"/>
        <family val="2"/>
      </rPr>
      <t>4-Forecast Indicators</t>
    </r>
    <r>
      <rPr>
        <sz val="12"/>
        <rFont val="Arial"/>
        <family val="2"/>
      </rPr>
      <t xml:space="preserve"> worksheet. For an example of a comprehensive Excel-based forecasting model, please see MuniCast.com</t>
    </r>
  </si>
  <si>
    <t>If you have any questions regarding the use of this model, or have suggestions for improving it, please contact Government Finance Research Group LLC at: municast@gmail.com</t>
  </si>
  <si>
    <t>SALARIES &amp; WAGES</t>
  </si>
  <si>
    <t>BENEFITS</t>
  </si>
  <si>
    <t>CAPITAL</t>
  </si>
  <si>
    <t>CONTRACTUAL SERVICES</t>
  </si>
  <si>
    <t>UTILITIES</t>
  </si>
  <si>
    <t>MAINTENANCE AND REPAIRS</t>
  </si>
  <si>
    <t>GRANTS</t>
  </si>
  <si>
    <t>ACTUAL</t>
  </si>
  <si>
    <t>TRANSFERS/OTHER</t>
  </si>
  <si>
    <t>ACTUAL CASH BALANCE ($000'S) &gt;</t>
  </si>
  <si>
    <t>Copyright 2004-2020, Government Finance Research Group LLC, www.MuniCast.com</t>
  </si>
  <si>
    <t>CUMULATIVE FY</t>
  </si>
  <si>
    <t>MONTHLY NET</t>
  </si>
  <si>
    <t>CUMULATIVE FORECAST</t>
  </si>
  <si>
    <t>SALES &amp; USE TAX</t>
  </si>
  <si>
    <t>FEES &amp; PERMITS</t>
  </si>
  <si>
    <t>BUSINESS LICENSE TAXES</t>
  </si>
  <si>
    <t>REIMBURSEMENTS</t>
  </si>
  <si>
    <t>USE OF MONEY &amp; PROPERTY</t>
  </si>
  <si>
    <t>INTRAGOVT SVC CHARGES</t>
  </si>
  <si>
    <t>INTERGOVT REVENUES</t>
  </si>
  <si>
    <t>FINES &amp; FORFEITURES</t>
  </si>
  <si>
    <t>TRANSIT TAX</t>
  </si>
  <si>
    <t>PARK</t>
  </si>
  <si>
    <t>LIBRARY</t>
  </si>
  <si>
    <t>MTGE/DEED/TAXES/FEES</t>
  </si>
  <si>
    <t>DEBT PYMTS</t>
  </si>
  <si>
    <t>TAX DISTRIBUTION PYMTS</t>
  </si>
  <si>
    <t>FISCAL DISPARITIES</t>
  </si>
  <si>
    <t>5.7% w cash flow</t>
  </si>
  <si>
    <t>3.8% w/o cash flow ($7MM/$185,372MM)</t>
  </si>
  <si>
    <t>3% Merit, 9.9% Health increase</t>
  </si>
  <si>
    <t>N O T E S</t>
  </si>
  <si>
    <t>FINANCING PROCEEDS</t>
  </si>
  <si>
    <t>OTHER NON-RECURRING SOURCES</t>
  </si>
  <si>
    <t>OTHER EXPENSES/USES</t>
  </si>
  <si>
    <t>OTHER NON-RECURRING USES</t>
  </si>
  <si>
    <t>To use this model, please follow the steps indicated in the following worksheets. Only input values in the light-blue shaded cells.</t>
  </si>
  <si>
    <t>&lt; NOTE: APPLIES PAY PERIOD FACTOR</t>
  </si>
  <si>
    <t>PAY PERIOD FACTOR &gt;</t>
  </si>
  <si>
    <t>&lt; SHOULD EQUAL TOTAL PAY PERIODS</t>
  </si>
  <si>
    <t>&lt; SHOULD EQUAL 1.000</t>
  </si>
  <si>
    <t>1.  SELECT ENDING FISCAL YEAR &gt;</t>
  </si>
  <si>
    <t xml:space="preserve">2.  INPUT FUND, FUNDS, OR OTHER &gt; </t>
  </si>
  <si>
    <t>GENERAL FUND</t>
  </si>
  <si>
    <t>Simplified Monthly Forecasting Model - Overview and Instructions</t>
  </si>
  <si>
    <t>Data Collection Tip:</t>
  </si>
  <si>
    <t>First Determine What is Being Modeled: Single or Multiple Funds, Pooled Cash or Other?</t>
  </si>
  <si>
    <t>Use Consistent Revenue and Expenditure Categories:</t>
  </si>
  <si>
    <t>Depending on your organization's fund accounting and cash management reporting, first determine whether you want to model an individual fund (Ex. General Fund), a consolidation of multiple funds, pooled cash balances, or other category. Be sure to input consistent "apples-to-apples" data relating to revenues, expenditures and beginning fund or cash balances.</t>
  </si>
  <si>
    <r>
      <rPr>
        <b/>
        <i/>
        <sz val="12"/>
        <rFont val="Arial"/>
        <family val="2"/>
      </rPr>
      <t>Step 1</t>
    </r>
    <r>
      <rPr>
        <b/>
        <sz val="12"/>
        <rFont val="Arial"/>
        <family val="2"/>
      </rPr>
      <t>:</t>
    </r>
    <r>
      <rPr>
        <sz val="12"/>
        <rFont val="Arial"/>
        <family val="2"/>
      </rPr>
      <t xml:space="preserve"> Select ending fiscal year in Cell B2 (Click on orange-shaded cell for FY menu)</t>
    </r>
  </si>
  <si>
    <r>
      <rPr>
        <b/>
        <i/>
        <sz val="12"/>
        <rFont val="Arial"/>
        <family val="2"/>
      </rPr>
      <t>Step 2</t>
    </r>
    <r>
      <rPr>
        <sz val="12"/>
        <rFont val="Arial"/>
        <family val="2"/>
      </rPr>
      <t>: Input Fund, Fund Group, Pooled Cash, etc. for revenues and expenditures to be modeled. (Label will appear on Cash Flow Chart.)</t>
    </r>
  </si>
  <si>
    <t>Recurring and Non-Recurring Revenues and Expenditures:</t>
  </si>
  <si>
    <t>IMPORTANT NOTE: Input only in light-blue shaded cells. Modification of formulas and cell contents elsewhere may corrupt the model.</t>
  </si>
  <si>
    <r>
      <t>Step 4</t>
    </r>
    <r>
      <rPr>
        <sz val="12"/>
        <rFont val="Arial"/>
        <family val="2"/>
      </rPr>
      <t>: Input actual monthly revenues and expenditures for the previous fiscal year in Rows 50 – 85.</t>
    </r>
  </si>
  <si>
    <r>
      <t>Step 3</t>
    </r>
    <r>
      <rPr>
        <sz val="12"/>
        <rFont val="Arial"/>
        <family val="2"/>
      </rPr>
      <t>: Input actual monthly revenues and expenditures for the previous fiscal year in Rows 9 – 44.</t>
    </r>
    <r>
      <rPr>
        <b/>
        <i/>
        <sz val="12"/>
        <rFont val="Arial"/>
        <family val="2"/>
      </rPr>
      <t xml:space="preserve"> NOTE: There are 17 input cells each for revenue and expenditure categories in Column B. These should be a sufficient number of categories for a summary level model. Leave unused rows blank - do not delete any rows or columns.</t>
    </r>
  </si>
  <si>
    <r>
      <t xml:space="preserve">Values from Worksheet </t>
    </r>
    <r>
      <rPr>
        <b/>
        <i/>
        <sz val="12"/>
        <rFont val="Arial"/>
        <family val="2"/>
      </rPr>
      <t>2-Data Input and Assumptions</t>
    </r>
    <r>
      <rPr>
        <sz val="12"/>
        <rFont val="Arial"/>
        <family val="2"/>
      </rPr>
      <t xml:space="preserve"> are illustrated in the chart. Input the starting cash, reserve or fund balance, in thousands of dollars, into Cell C46.</t>
    </r>
  </si>
  <si>
    <t>Before inputting data and assumptions into the model, first collect the revenue, expenditure and cash/fund balances data you will be entering. As this workbook format is designed to accommodate summary level financial data, before starting the data input process, you may want to first collect all required historic and current year data from your financial reporting system directly, or if more convenient, pull monthly data from existing financial reports covering the historic periods and current year budget.</t>
  </si>
  <si>
    <t>Where material, separate recurring from non-recurring revenues and expenditures by category. For example, various grants, financing proceeds and/or one-time revenue adjustments can be input under corresponding categories, separate from recurring items such as property and sales taxes, charges for  services, state-shared revenues, etc. Similarly under Expenditures, capital and debt expenses should be input in their respective categories when appropriate, as well as one-time expenditures and other uses and expenditure adjustments.</t>
  </si>
  <si>
    <t>5.  ENTER PAY PERIODS BY MONTH &gt;</t>
  </si>
  <si>
    <r>
      <t>Step 6</t>
    </r>
    <r>
      <rPr>
        <sz val="12"/>
        <rFont val="Arial"/>
        <family val="2"/>
      </rPr>
      <t>: Input the current fiscal year annual budget totals in Column B, Rows 93 – 128. Monthly values, except for Salaries and Benefits, will be automatically calculated based on averages from the preceeding two fiscal years of historic actual data.</t>
    </r>
  </si>
  <si>
    <r>
      <t>Step 5</t>
    </r>
    <r>
      <rPr>
        <sz val="12"/>
        <rFont val="Arial"/>
        <family val="2"/>
      </rPr>
      <t>: Input the number of pay periods, by month, for the current fiscal year, beginning in Cell C90. These will be used as the basis for allocating Salaries and Benefits by month for the current year baseline budget. Any required adjustments to these calculated allocations can be made in Step 8.</t>
    </r>
  </si>
  <si>
    <r>
      <t>Step 7</t>
    </r>
    <r>
      <rPr>
        <sz val="12"/>
        <rFont val="Arial"/>
        <family val="2"/>
      </rPr>
      <t xml:space="preserve">: For the current fiscal year, monthly values from </t>
    </r>
    <r>
      <rPr>
        <b/>
        <i/>
        <sz val="12"/>
        <rFont val="Arial"/>
        <family val="2"/>
      </rPr>
      <t>Step 6</t>
    </r>
    <r>
      <rPr>
        <sz val="12"/>
        <rFont val="Arial"/>
        <family val="2"/>
      </rPr>
      <t xml:space="preserve"> are carried over into Rows 134 – 169. If any values need to be adjusted, over-write the formula, in the light-blue cells only, and input the adjusted values into the appropriate light-blue cell(s). As monthly actuals become available, input accordingly by month and make any required adjustments to the remaining months to update the total year-end estimate.</t>
    </r>
  </si>
  <si>
    <t>ESTIMATE</t>
  </si>
  <si>
    <t>&lt; INPUT ACTUAL OR ESTIMATE</t>
  </si>
  <si>
    <r>
      <t xml:space="preserve">The Simplified Excel-based Monthly Forecasting Model provides a simple tool for analyzing the net impact of major revenues, expenditures and corresponding balances projected over a 36-month period. As this is a simplified version of a detailed cash flow model, it only allows for input of starting cash, fund or reserve balances, and projects subsequent net balances based on 24 months of historic data for the initial 12-month period (the current year) and assumed annual rates of change for major revenue (Inflows) and expenditure (Outflows) groups for the subsequent 24 month period. </t>
    </r>
    <r>
      <rPr>
        <b/>
        <i/>
        <sz val="12"/>
        <rFont val="Arial"/>
        <family val="2"/>
      </rPr>
      <t>CAVEAT:</t>
    </r>
    <r>
      <rPr>
        <sz val="12"/>
        <rFont val="Arial"/>
        <family val="2"/>
      </rPr>
      <t xml:space="preserve"> This simplified model does not include input fields for changes to working capital, A/R and A/P cycles, adjustments for accruals, non-cash adjustments and other balance sheet-related items, and as such is not intended to be a replacement for a thorough cash flow analysis.</t>
    </r>
  </si>
  <si>
    <t>STEP 8 &gt;</t>
  </si>
  <si>
    <t>INSTRUCTIONS: FOLLOW STEPS 3 - 9 BELOW</t>
  </si>
  <si>
    <t>STEP 9: INPUT ANNUAL RATE OF CHANGE FOR FORECAST MONTHS 13 - 36 (SHOWN ON CASH FLOW CHART)</t>
  </si>
  <si>
    <t xml:space="preserve">BUDGET VS. ACTUAL &gt; </t>
  </si>
  <si>
    <t xml:space="preserve">CUMULATIVE &gt; </t>
  </si>
  <si>
    <t>STEPS 5 &amp; 6: INPUT CURRENT YEAR ANNUAL BUDGET OR ESTIMATE AND PAY-PERIODS BY MONTH; MONTHLY BUDGET VALUES AUTOMATICALLY CALCULATED BASED ON HISTORIC MONTHLY DATA</t>
  </si>
  <si>
    <t>STEP 3: INPUT REVENUE/EXPENSE CATEGORIES AND LAST FISCAL YEAR'S ACTUAL DATA</t>
  </si>
  <si>
    <t>STEP 4: INPUT PREVIOUS FISCAL YEAR'S ACTUAL DATA (PRIOR TO LAST FISCAL YEAR)</t>
  </si>
  <si>
    <t>STEP 7: IF APPLICABLE, ADJUST CURRENT FISCAL YEAR (MONTHS 1-12) VALUES FROM STEP 6 IN SHADED CELLS BELOW (NOTE: THESE VALUES WILL APPEAR IN THE FIRST 12 MONTHS OF THE CASH FLOW CHART)</t>
  </si>
  <si>
    <t>STEP 8: INPUT MONTHLY ESTIMATES FOR YEAR 2 OF THE FORECAST (NOTE: THESE VALUES WILL APPEAR IN MONTHS 13-24 OF THE CASH FLOW CHART)</t>
  </si>
  <si>
    <r>
      <t>Step 8</t>
    </r>
    <r>
      <rPr>
        <sz val="12"/>
        <rFont val="Arial"/>
        <family val="2"/>
      </rPr>
      <t>: At the beginning of the current fiscal year, or 12-month period, the monthly values calculated in Step 7 can be used and/or modified as the beginning monthly estimates. Progressing into the current period, monthly actual revenues and expenditures should be entered in the corresponding cells for those months. Indicate whether the monthly value is 'Actual' or 'Estimate' in Rows 133 and 152.</t>
    </r>
  </si>
  <si>
    <r>
      <t>Step 9</t>
    </r>
    <r>
      <rPr>
        <sz val="12"/>
        <rFont val="Arial"/>
        <family val="2"/>
      </rPr>
      <t>: To project monthly revenues and expenditures for the third fiscal year (Months 25-36), input the assumed annual rates of change for each major revenue and expenditure group in Column G, Rows 219 – 254</t>
    </r>
    <r>
      <rPr>
        <b/>
        <i/>
        <sz val="12"/>
        <rFont val="Arial"/>
        <family val="2"/>
      </rPr>
      <t>.</t>
    </r>
  </si>
  <si>
    <r>
      <t xml:space="preserve">To maintain a consistent revenue and expenditure reporting format across multiple periods, be sure to use consistent revenue and expenditure categories across historic, current and future periods indicated in Tab 2-Data Input 7 Assumptions worksheet. This worksheet is also formatted in a way where you will need to input revenue and expenditure categories only once in </t>
    </r>
    <r>
      <rPr>
        <b/>
        <sz val="12"/>
        <rFont val="Arial"/>
        <family val="2"/>
      </rPr>
      <t>Step 3</t>
    </r>
    <r>
      <rPr>
        <sz val="12"/>
        <rFont val="Arial"/>
        <family val="2"/>
      </rPr>
      <t>.</t>
    </r>
  </si>
  <si>
    <t>DONATIONS/CONTRIBS/ INV INCOME</t>
  </si>
  <si>
    <t>OTHER SOURCES / INV MATURITIES</t>
  </si>
  <si>
    <t xml:space="preserve">INVESTMENT PURCHASES </t>
  </si>
  <si>
    <t>JAN-2023</t>
  </si>
  <si>
    <t>FEB-2022</t>
  </si>
  <si>
    <t>MAR-2022</t>
  </si>
  <si>
    <t>APR-2022</t>
  </si>
  <si>
    <t>MAY-2022</t>
  </si>
  <si>
    <t>JUN-2021</t>
  </si>
  <si>
    <t>JUL-2022</t>
  </si>
  <si>
    <t>AUG-2022</t>
  </si>
  <si>
    <t>SEP-2022</t>
  </si>
  <si>
    <t>OCT-2022</t>
  </si>
  <si>
    <t>NOV-2022</t>
  </si>
  <si>
    <t>DEC-2022</t>
  </si>
  <si>
    <t>FEB-2023</t>
  </si>
  <si>
    <t>MAR-2023</t>
  </si>
  <si>
    <t>APR-2023</t>
  </si>
  <si>
    <t>MAY-2023</t>
  </si>
  <si>
    <t>JUN-2023</t>
  </si>
  <si>
    <t>JUL-2023</t>
  </si>
  <si>
    <t>AUG-2023</t>
  </si>
  <si>
    <t>SEP-2023</t>
  </si>
  <si>
    <t>OCT-2023</t>
  </si>
  <si>
    <t>NOV-2023</t>
  </si>
  <si>
    <t>DEC-2023</t>
  </si>
  <si>
    <t>JAN-2024</t>
  </si>
  <si>
    <t>FEB-2024</t>
  </si>
  <si>
    <t>MAR-2024</t>
  </si>
  <si>
    <t>APR-2024</t>
  </si>
  <si>
    <t>MAY-2024</t>
  </si>
  <si>
    <t>JUN-2024</t>
  </si>
  <si>
    <t>JUL-2024</t>
  </si>
  <si>
    <t>AUG-2024</t>
  </si>
  <si>
    <t>SEP-2024</t>
  </si>
  <si>
    <t>OCT-2024</t>
  </si>
  <si>
    <t>NOV-2024</t>
  </si>
  <si>
    <t>DEC-2024</t>
  </si>
  <si>
    <t>JAN-2025</t>
  </si>
  <si>
    <t>FEB-2025</t>
  </si>
  <si>
    <t>MAR-2025</t>
  </si>
  <si>
    <t>APR-2025</t>
  </si>
  <si>
    <t>MAY-2025</t>
  </si>
  <si>
    <t>JUN-2025</t>
  </si>
  <si>
    <t>JUL-2025</t>
  </si>
  <si>
    <t>AUG-2025</t>
  </si>
  <si>
    <t>SEP-2025</t>
  </si>
  <si>
    <t>OCT-2025</t>
  </si>
  <si>
    <t>NOV-2025</t>
  </si>
  <si>
    <t>DEC-2025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</si>
</sst>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_(* #,##0_);_(* \(#,##0\);_(* &quot;-&quot;?_);_(@_)"/>
    <numFmt numFmtId="168" formatCode="_(* #,##0.000_);_(* \(#,##0.000\);_(* &quot;-&quot;??_);_(@_)"/>
  </numFmts>
  <fonts count="3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11"/>
      <color indexed="8"/>
      <name val="Calibri"/>
      <family val="2"/>
    </font>
    <font>
      <b/>
      <i/>
      <sz val="12"/>
      <color theme="0"/>
      <name val="Calibri"/>
      <family val="2"/>
      <scheme val="minor"/>
    </font>
    <font>
      <b/>
      <i/>
      <sz val="12"/>
      <color theme="1"/>
      <name val="Calibri"/>
      <family val="2"/>
      <scheme val="minor"/>
    </font>
    <font>
      <b/>
      <sz val="14"/>
      <color theme="1"/>
      <name val="Calibri"/>
      <family val="2"/>
      <scheme val="minor"/>
    </font>
    <font>
      <b/>
      <sz val="12"/>
      <color theme="1"/>
      <name val="Calibri"/>
      <family val="2"/>
      <scheme val="minor"/>
    </font>
    <font>
      <sz val="9"/>
      <color indexed="81"/>
      <name val="Tahoma"/>
      <family val="2"/>
    </font>
    <font>
      <b/>
      <sz val="9"/>
      <color indexed="81"/>
      <name val="Tahoma"/>
      <family val="2"/>
    </font>
    <font>
      <b/>
      <sz val="14"/>
      <color theme="0"/>
      <name val="Calibri"/>
      <family val="2"/>
      <scheme val="minor"/>
    </font>
    <font>
      <u/>
      <sz val="11"/>
      <color theme="10"/>
      <name val="Calibri"/>
      <family val="2"/>
      <scheme val="minor"/>
    </font>
    <font>
      <b/>
      <i/>
      <sz val="12"/>
      <name val="Calibri"/>
      <family val="2"/>
      <scheme val="minor"/>
    </font>
    <font>
      <b/>
      <sz val="12"/>
      <name val="Arial"/>
      <family val="2"/>
    </font>
    <font>
      <sz val="12"/>
      <name val="Arial"/>
      <family val="2"/>
    </font>
    <font>
      <b/>
      <i/>
      <sz val="12"/>
      <name val="Arial"/>
      <family val="2"/>
    </font>
    <font>
      <b/>
      <sz val="12"/>
      <color theme="0"/>
      <name val="Arial"/>
      <family val="2"/>
    </font>
    <font>
      <b/>
      <i/>
      <sz val="10"/>
      <name val="Arial"/>
      <family val="2"/>
    </font>
    <font>
      <b/>
      <sz val="8"/>
      <color theme="1"/>
      <name val="Calibri"/>
      <family val="2"/>
    </font>
    <font>
      <b/>
      <sz val="9"/>
      <color rgb="FF000000"/>
      <name val="Tahoma"/>
      <family val="2"/>
    </font>
    <font>
      <sz val="9"/>
      <color rgb="FF000000"/>
      <name val="Tahoma"/>
      <family val="2"/>
    </font>
    <font>
      <sz val="8"/>
      <name val="Calibri"/>
      <family val="2"/>
      <scheme val="minor"/>
    </font>
    <font>
      <sz val="10"/>
      <color theme="1"/>
      <name val="Calibri"/>
      <family val="2"/>
      <scheme val="minor"/>
    </font>
    <font>
      <b/>
      <i/>
      <sz val="10"/>
      <color theme="1"/>
      <name val="Calibri"/>
      <family val="2"/>
      <scheme val="minor"/>
    </font>
    <font>
      <b/>
      <sz val="10"/>
      <color theme="1"/>
      <name val="Calibri"/>
      <family val="2"/>
      <scheme val="minor"/>
    </font>
    <font>
      <b/>
      <sz val="10"/>
      <color rgb="FFFF0000"/>
      <name val="Calibri"/>
      <family val="2"/>
      <scheme val="minor"/>
    </font>
    <font>
      <i/>
      <sz val="11"/>
      <color theme="1"/>
      <name val="Calibri"/>
      <family val="2"/>
      <scheme val="minor"/>
    </font>
    <font>
      <b/>
      <i/>
      <u/>
      <sz val="12"/>
      <name val="Arial"/>
      <family val="2"/>
    </font>
  </fonts>
  <fills count="9">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bgColor indexed="64"/>
      </patternFill>
    </fill>
    <fill>
      <patternFill patternType="solid">
        <fgColor rgb="FFFFC000"/>
        <bgColor indexed="64"/>
      </patternFill>
    </fill>
    <fill>
      <patternFill patternType="solid">
        <fgColor rgb="FF92D050"/>
        <bgColor indexed="64"/>
      </patternFill>
    </fill>
  </fills>
  <borders count="2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138">
    <xf numFmtId="0" fontId="0" fillId="0" borderId="0" xfId="0"/>
    <xf numFmtId="166" fontId="0" fillId="2" borderId="8" xfId="2" applyNumberFormat="1" applyFont="1" applyFill="1" applyBorder="1" applyAlignment="1" applyProtection="1">
      <alignment horizontal="center"/>
      <protection locked="0"/>
    </xf>
    <xf numFmtId="0" fontId="0" fillId="3" borderId="0" xfId="0" applyFill="1"/>
    <xf numFmtId="0" fontId="7" fillId="3" borderId="0" xfId="0" applyFont="1" applyFill="1" applyAlignment="1">
      <alignment horizontal="right"/>
    </xf>
    <xf numFmtId="0" fontId="7" fillId="3" borderId="0" xfId="0" applyFont="1" applyFill="1"/>
    <xf numFmtId="164" fontId="0" fillId="0" borderId="0" xfId="0" applyNumberFormat="1"/>
    <xf numFmtId="0" fontId="4" fillId="0" borderId="0" xfId="0" applyFont="1" applyAlignment="1">
      <alignment horizontal="right"/>
    </xf>
    <xf numFmtId="0" fontId="4" fillId="0" borderId="0" xfId="0" applyFont="1"/>
    <xf numFmtId="0" fontId="0" fillId="0" borderId="7" xfId="0" applyBorder="1" applyAlignment="1">
      <alignment horizontal="center"/>
    </xf>
    <xf numFmtId="0" fontId="0" fillId="0" borderId="6" xfId="0" applyBorder="1" applyAlignment="1">
      <alignment horizontal="center"/>
    </xf>
    <xf numFmtId="0" fontId="4" fillId="0" borderId="7" xfId="0" applyFont="1" applyBorder="1" applyAlignment="1">
      <alignment horizontal="right"/>
    </xf>
    <xf numFmtId="0" fontId="0" fillId="0" borderId="6" xfId="0" applyBorder="1"/>
    <xf numFmtId="0" fontId="0" fillId="0" borderId="6" xfId="0" applyBorder="1" applyAlignment="1">
      <alignment horizontal="right"/>
    </xf>
    <xf numFmtId="164" fontId="0" fillId="0" borderId="6" xfId="4" applyNumberFormat="1" applyFont="1" applyBorder="1" applyAlignment="1" applyProtection="1">
      <alignment horizontal="center"/>
    </xf>
    <xf numFmtId="0" fontId="4" fillId="0" borderId="5" xfId="0" applyFont="1" applyBorder="1" applyAlignment="1">
      <alignment horizontal="right"/>
    </xf>
    <xf numFmtId="0" fontId="0" fillId="0" borderId="0" xfId="0" applyAlignment="1">
      <alignment horizontal="right"/>
    </xf>
    <xf numFmtId="164" fontId="0" fillId="0" borderId="0" xfId="4" applyNumberFormat="1" applyFont="1" applyBorder="1" applyAlignment="1" applyProtection="1">
      <alignment horizontal="center"/>
    </xf>
    <xf numFmtId="0" fontId="0" fillId="0" borderId="12" xfId="0" applyBorder="1"/>
    <xf numFmtId="0" fontId="0" fillId="0" borderId="11" xfId="0" applyBorder="1"/>
    <xf numFmtId="0" fontId="0" fillId="0" borderId="11" xfId="0" applyBorder="1" applyAlignment="1">
      <alignment horizontal="right"/>
    </xf>
    <xf numFmtId="164" fontId="0" fillId="0" borderId="11" xfId="4" applyNumberFormat="1" applyFont="1" applyFill="1" applyBorder="1" applyProtection="1"/>
    <xf numFmtId="0" fontId="0" fillId="0" borderId="7" xfId="0" applyBorder="1"/>
    <xf numFmtId="0" fontId="0" fillId="0" borderId="5" xfId="0" applyBorder="1"/>
    <xf numFmtId="164" fontId="0" fillId="0" borderId="5" xfId="4" applyNumberFormat="1" applyFont="1" applyBorder="1" applyProtection="1"/>
    <xf numFmtId="164" fontId="0" fillId="0" borderId="0" xfId="4" applyNumberFormat="1" applyFont="1" applyBorder="1" applyProtection="1"/>
    <xf numFmtId="164" fontId="0" fillId="0" borderId="0" xfId="4" applyNumberFormat="1" applyFont="1" applyBorder="1" applyAlignment="1" applyProtection="1">
      <alignment horizontal="right"/>
    </xf>
    <xf numFmtId="164" fontId="0" fillId="0" borderId="0" xfId="4" applyNumberFormat="1" applyFont="1" applyProtection="1"/>
    <xf numFmtId="164" fontId="0" fillId="0" borderId="3" xfId="4" applyNumberFormat="1" applyFont="1" applyBorder="1" applyProtection="1"/>
    <xf numFmtId="164" fontId="0" fillId="0" borderId="2" xfId="4" applyNumberFormat="1" applyFont="1" applyBorder="1" applyProtection="1"/>
    <xf numFmtId="0" fontId="3" fillId="0" borderId="0" xfId="0" applyFont="1"/>
    <xf numFmtId="43" fontId="0" fillId="0" borderId="0" xfId="0" applyNumberFormat="1"/>
    <xf numFmtId="0" fontId="9" fillId="0" borderId="0" xfId="0" applyFont="1"/>
    <xf numFmtId="0" fontId="4" fillId="5" borderId="0" xfId="0" applyFont="1" applyFill="1"/>
    <xf numFmtId="0" fontId="0" fillId="4" borderId="0" xfId="0" applyFill="1"/>
    <xf numFmtId="0" fontId="3" fillId="4" borderId="0" xfId="0" applyFont="1" applyFill="1" applyAlignment="1">
      <alignment horizontal="center"/>
    </xf>
    <xf numFmtId="0" fontId="4" fillId="0" borderId="10" xfId="0" applyFont="1" applyBorder="1" applyAlignment="1">
      <alignment horizontal="right"/>
    </xf>
    <xf numFmtId="0" fontId="4" fillId="0" borderId="11" xfId="0" applyFont="1" applyBorder="1" applyAlignment="1">
      <alignment horizontal="right"/>
    </xf>
    <xf numFmtId="0" fontId="0" fillId="5" borderId="0" xfId="0" applyFill="1"/>
    <xf numFmtId="0" fontId="9" fillId="0" borderId="5" xfId="0" applyFont="1"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0" xfId="0" applyAlignment="1">
      <alignment wrapText="1"/>
    </xf>
    <xf numFmtId="0" fontId="9" fillId="4" borderId="5" xfId="0" applyFont="1" applyFill="1" applyBorder="1" applyAlignment="1">
      <alignment vertical="center" wrapText="1"/>
    </xf>
    <xf numFmtId="0" fontId="0" fillId="4" borderId="16" xfId="0" applyFill="1" applyBorder="1" applyAlignment="1">
      <alignment vertical="center" wrapText="1"/>
    </xf>
    <xf numFmtId="0" fontId="0" fillId="4" borderId="4" xfId="0" applyFill="1" applyBorder="1" applyAlignment="1">
      <alignment vertical="center" wrapText="1"/>
    </xf>
    <xf numFmtId="0" fontId="0" fillId="0" borderId="0" xfId="0" applyAlignment="1">
      <alignment vertical="center" wrapText="1"/>
    </xf>
    <xf numFmtId="0" fontId="14" fillId="0" borderId="0" xfId="6" applyFont="1" applyAlignment="1">
      <alignment horizontal="left"/>
    </xf>
    <xf numFmtId="0" fontId="7" fillId="0" borderId="0" xfId="0" applyFont="1" applyAlignment="1">
      <alignment horizontal="right"/>
    </xf>
    <xf numFmtId="0" fontId="12" fillId="6" borderId="13" xfId="0" applyFont="1" applyFill="1" applyBorder="1" applyAlignment="1">
      <alignment horizontal="center"/>
    </xf>
    <xf numFmtId="0" fontId="12" fillId="6" borderId="14" xfId="0" applyFont="1" applyFill="1" applyBorder="1" applyAlignment="1">
      <alignment horizontal="center"/>
    </xf>
    <xf numFmtId="0" fontId="12" fillId="6" borderId="15" xfId="0" applyFont="1" applyFill="1" applyBorder="1" applyAlignment="1">
      <alignment horizontal="center"/>
    </xf>
    <xf numFmtId="0" fontId="0" fillId="6" borderId="3" xfId="0" applyFill="1" applyBorder="1"/>
    <xf numFmtId="0" fontId="0" fillId="6" borderId="17" xfId="0" applyFill="1" applyBorder="1" applyAlignment="1">
      <alignment wrapText="1"/>
    </xf>
    <xf numFmtId="0" fontId="0" fillId="6" borderId="17" xfId="0" applyFill="1" applyBorder="1"/>
    <xf numFmtId="0" fontId="0" fillId="6" borderId="1" xfId="0" applyFill="1" applyBorder="1"/>
    <xf numFmtId="0" fontId="6" fillId="6" borderId="0" xfId="0" applyFont="1" applyFill="1"/>
    <xf numFmtId="0" fontId="2" fillId="6" borderId="0" xfId="0" applyFont="1" applyFill="1"/>
    <xf numFmtId="0" fontId="15" fillId="0" borderId="0" xfId="0" applyFont="1" applyAlignment="1">
      <alignment vertical="center" wrapText="1"/>
    </xf>
    <xf numFmtId="0" fontId="16" fillId="0" borderId="0" xfId="0" applyFont="1"/>
    <xf numFmtId="0" fontId="16"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wrapText="1"/>
    </xf>
    <xf numFmtId="0" fontId="18" fillId="6" borderId="0" xfId="0" applyFont="1" applyFill="1" applyAlignment="1">
      <alignment vertical="center" wrapText="1"/>
    </xf>
    <xf numFmtId="0" fontId="19" fillId="0" borderId="0" xfId="0" applyFont="1" applyAlignment="1">
      <alignment wrapText="1"/>
    </xf>
    <xf numFmtId="164" fontId="0" fillId="0" borderId="7" xfId="4" applyNumberFormat="1" applyFont="1" applyBorder="1" applyProtection="1"/>
    <xf numFmtId="164" fontId="0" fillId="0" borderId="6" xfId="4" applyNumberFormat="1" applyFont="1" applyBorder="1" applyProtection="1"/>
    <xf numFmtId="164" fontId="0" fillId="0" borderId="6" xfId="4" applyNumberFormat="1" applyFont="1" applyBorder="1" applyAlignment="1" applyProtection="1">
      <alignment horizontal="right"/>
    </xf>
    <xf numFmtId="164" fontId="0" fillId="0" borderId="2" xfId="4" applyNumberFormat="1" applyFont="1" applyFill="1" applyBorder="1" applyAlignment="1" applyProtection="1">
      <alignment horizontal="right"/>
    </xf>
    <xf numFmtId="0" fontId="0" fillId="2" borderId="9" xfId="0" applyFill="1" applyBorder="1" applyProtection="1">
      <protection locked="0"/>
    </xf>
    <xf numFmtId="0" fontId="0" fillId="0" borderId="0" xfId="0" applyAlignment="1">
      <alignment horizontal="center"/>
    </xf>
    <xf numFmtId="0" fontId="20" fillId="0" borderId="0" xfId="0" applyFont="1" applyAlignment="1">
      <alignment horizontal="center"/>
    </xf>
    <xf numFmtId="0" fontId="0" fillId="0" borderId="2" xfId="0" applyBorder="1" applyAlignment="1">
      <alignment horizontal="center"/>
    </xf>
    <xf numFmtId="0" fontId="16" fillId="5" borderId="0" xfId="0" applyFont="1" applyFill="1" applyAlignment="1">
      <alignment vertical="center" wrapText="1"/>
    </xf>
    <xf numFmtId="0" fontId="16" fillId="5" borderId="0" xfId="6" applyFont="1" applyFill="1" applyAlignment="1">
      <alignment vertical="center" wrapText="1"/>
    </xf>
    <xf numFmtId="0" fontId="4" fillId="5" borderId="0" xfId="0" applyFont="1" applyFill="1" applyAlignment="1">
      <alignment horizontal="right"/>
    </xf>
    <xf numFmtId="9" fontId="0" fillId="0" borderId="0" xfId="5" applyFont="1" applyProtection="1"/>
    <xf numFmtId="164" fontId="0" fillId="0" borderId="19" xfId="0" applyNumberFormat="1" applyBorder="1"/>
    <xf numFmtId="0" fontId="0" fillId="0" borderId="19" xfId="0" applyBorder="1"/>
    <xf numFmtId="0" fontId="0" fillId="0" borderId="20" xfId="0" applyBorder="1" applyAlignment="1">
      <alignment horizontal="center"/>
    </xf>
    <xf numFmtId="164" fontId="0" fillId="0" borderId="20" xfId="4" applyNumberFormat="1" applyFont="1" applyBorder="1" applyAlignment="1" applyProtection="1">
      <alignment horizontal="center"/>
    </xf>
    <xf numFmtId="164" fontId="0" fillId="0" borderId="19" xfId="4" applyNumberFormat="1" applyFont="1" applyBorder="1" applyAlignment="1" applyProtection="1">
      <alignment horizontal="center"/>
    </xf>
    <xf numFmtId="164" fontId="0" fillId="0" borderId="21" xfId="4" applyNumberFormat="1" applyFont="1" applyFill="1" applyBorder="1" applyProtection="1"/>
    <xf numFmtId="164" fontId="0" fillId="0" borderId="20" xfId="4" applyNumberFormat="1" applyFont="1" applyBorder="1" applyProtection="1"/>
    <xf numFmtId="164" fontId="0" fillId="0" borderId="19" xfId="4" applyNumberFormat="1" applyFont="1" applyBorder="1" applyProtection="1"/>
    <xf numFmtId="164" fontId="0" fillId="0" borderId="18" xfId="4" applyNumberFormat="1" applyFont="1" applyBorder="1" applyProtection="1"/>
    <xf numFmtId="0" fontId="0" fillId="0" borderId="22" xfId="0" applyBorder="1"/>
    <xf numFmtId="0" fontId="0" fillId="0" borderId="22" xfId="0" applyBorder="1" applyAlignment="1">
      <alignment horizontal="center"/>
    </xf>
    <xf numFmtId="0" fontId="0" fillId="0" borderId="23" xfId="0" applyBorder="1" applyAlignment="1">
      <alignment horizontal="center"/>
    </xf>
    <xf numFmtId="164" fontId="4" fillId="2" borderId="0" xfId="4" applyNumberFormat="1" applyFont="1" applyFill="1" applyProtection="1">
      <protection locked="0"/>
    </xf>
    <xf numFmtId="0" fontId="4" fillId="2" borderId="0" xfId="0" applyFont="1" applyFill="1" applyProtection="1">
      <protection locked="0"/>
    </xf>
    <xf numFmtId="0" fontId="4" fillId="2" borderId="19" xfId="0" applyFont="1" applyFill="1" applyBorder="1" applyProtection="1">
      <protection locked="0"/>
    </xf>
    <xf numFmtId="0" fontId="4" fillId="2" borderId="2" xfId="0" applyFont="1" applyFill="1" applyBorder="1" applyProtection="1">
      <protection locked="0"/>
    </xf>
    <xf numFmtId="0" fontId="4" fillId="2" borderId="18" xfId="0" applyFont="1" applyFill="1" applyBorder="1" applyProtection="1">
      <protection locked="0"/>
    </xf>
    <xf numFmtId="0" fontId="0" fillId="2" borderId="2" xfId="0" applyFill="1" applyBorder="1" applyProtection="1">
      <protection locked="0"/>
    </xf>
    <xf numFmtId="0" fontId="8" fillId="3" borderId="0" xfId="0" applyFont="1" applyFill="1" applyProtection="1">
      <protection locked="0"/>
    </xf>
    <xf numFmtId="164" fontId="24" fillId="0" borderId="0" xfId="0" applyNumberFormat="1" applyFont="1"/>
    <xf numFmtId="164" fontId="24" fillId="2" borderId="9" xfId="4" applyNumberFormat="1" applyFont="1" applyFill="1" applyBorder="1" applyProtection="1">
      <protection locked="0"/>
    </xf>
    <xf numFmtId="164" fontId="25" fillId="0" borderId="10" xfId="4" applyNumberFormat="1" applyFont="1" applyBorder="1" applyProtection="1"/>
    <xf numFmtId="0" fontId="25" fillId="0" borderId="0" xfId="0" applyFont="1"/>
    <xf numFmtId="43" fontId="24" fillId="0" borderId="0" xfId="4" applyFont="1" applyProtection="1"/>
    <xf numFmtId="164" fontId="25" fillId="0" borderId="11" xfId="4" applyNumberFormat="1" applyFont="1" applyBorder="1" applyProtection="1"/>
    <xf numFmtId="164" fontId="24" fillId="0" borderId="0" xfId="4" applyNumberFormat="1" applyFont="1" applyProtection="1"/>
    <xf numFmtId="0" fontId="25" fillId="5" borderId="0" xfId="0" applyFont="1" applyFill="1"/>
    <xf numFmtId="0" fontId="24" fillId="5" borderId="0" xfId="0" applyFont="1" applyFill="1"/>
    <xf numFmtId="0" fontId="24" fillId="0" borderId="0" xfId="0" applyFont="1"/>
    <xf numFmtId="0" fontId="26" fillId="4" borderId="0" xfId="0" applyFont="1" applyFill="1" applyAlignment="1">
      <alignment horizontal="center"/>
    </xf>
    <xf numFmtId="164" fontId="26" fillId="0" borderId="10" xfId="4" applyNumberFormat="1" applyFont="1" applyBorder="1" applyProtection="1"/>
    <xf numFmtId="164" fontId="26" fillId="0" borderId="11" xfId="4" applyNumberFormat="1" applyFont="1" applyBorder="1" applyProtection="1"/>
    <xf numFmtId="164" fontId="26" fillId="0" borderId="0" xfId="4" applyNumberFormat="1" applyFont="1" applyBorder="1" applyProtection="1"/>
    <xf numFmtId="165" fontId="24" fillId="0" borderId="0" xfId="5" applyNumberFormat="1" applyFont="1" applyProtection="1"/>
    <xf numFmtId="165" fontId="24" fillId="2" borderId="9" xfId="5" applyNumberFormat="1" applyFont="1" applyFill="1" applyBorder="1" applyProtection="1">
      <protection locked="0"/>
    </xf>
    <xf numFmtId="167" fontId="24" fillId="0" borderId="0" xfId="0" applyNumberFormat="1" applyFont="1"/>
    <xf numFmtId="165" fontId="25" fillId="0" borderId="10" xfId="5" applyNumberFormat="1" applyFont="1" applyBorder="1" applyProtection="1"/>
    <xf numFmtId="165" fontId="25" fillId="0" borderId="11" xfId="5" applyNumberFormat="1" applyFont="1" applyBorder="1" applyProtection="1"/>
    <xf numFmtId="0" fontId="27" fillId="0" borderId="0" xfId="0" applyFont="1"/>
    <xf numFmtId="164" fontId="24" fillId="2" borderId="14" xfId="4" applyNumberFormat="1" applyFont="1" applyFill="1" applyBorder="1" applyProtection="1">
      <protection locked="0"/>
    </xf>
    <xf numFmtId="43" fontId="28" fillId="5" borderId="0" xfId="0" applyNumberFormat="1" applyFont="1" applyFill="1"/>
    <xf numFmtId="0" fontId="4" fillId="0" borderId="0" xfId="0" applyFont="1" applyAlignment="1">
      <alignment horizontal="center"/>
    </xf>
    <xf numFmtId="168" fontId="0" fillId="0" borderId="0" xfId="4" applyNumberFormat="1" applyFont="1" applyProtection="1"/>
    <xf numFmtId="168" fontId="4" fillId="0" borderId="0" xfId="4" applyNumberFormat="1" applyFont="1" applyProtection="1"/>
    <xf numFmtId="0" fontId="3" fillId="7" borderId="8" xfId="0" applyFont="1" applyFill="1" applyBorder="1" applyAlignment="1" applyProtection="1">
      <alignment horizontal="center"/>
      <protection locked="0"/>
    </xf>
    <xf numFmtId="0" fontId="16" fillId="0" borderId="17" xfId="0" applyFont="1" applyBorder="1" applyAlignment="1">
      <alignment vertical="center" wrapText="1"/>
    </xf>
    <xf numFmtId="0" fontId="29" fillId="0" borderId="8" xfId="0" applyFont="1" applyBorder="1" applyAlignment="1">
      <alignment vertical="center" wrapText="1"/>
    </xf>
    <xf numFmtId="0" fontId="17" fillId="5" borderId="0" xfId="0" applyFont="1" applyFill="1" applyAlignment="1">
      <alignment vertical="center" wrapText="1"/>
    </xf>
    <xf numFmtId="164" fontId="24" fillId="2" borderId="25" xfId="4" applyNumberFormat="1" applyFont="1" applyFill="1" applyBorder="1" applyProtection="1">
      <protection locked="0"/>
    </xf>
    <xf numFmtId="164" fontId="25" fillId="2" borderId="14" xfId="4" applyNumberFormat="1" applyFont="1" applyFill="1" applyBorder="1" applyAlignment="1" applyProtection="1">
      <alignment horizontal="center"/>
      <protection locked="0"/>
    </xf>
    <xf numFmtId="0" fontId="25" fillId="0" borderId="0" xfId="0" applyFont="1" applyAlignment="1">
      <alignment horizontal="right"/>
    </xf>
    <xf numFmtId="0" fontId="0" fillId="0" borderId="26" xfId="0" applyBorder="1" applyAlignment="1">
      <alignment horizontal="center"/>
    </xf>
    <xf numFmtId="166" fontId="0" fillId="0" borderId="0" xfId="0" applyNumberFormat="1"/>
    <xf numFmtId="0" fontId="25" fillId="0" borderId="13" xfId="0" applyFont="1" applyBorder="1" applyAlignment="1">
      <alignment horizontal="center" vertical="center"/>
    </xf>
    <xf numFmtId="0" fontId="28" fillId="0" borderId="24" xfId="0" applyFont="1" applyBorder="1" applyAlignment="1">
      <alignment horizontal="center" vertical="center"/>
    </xf>
    <xf numFmtId="0" fontId="28" fillId="0" borderId="15" xfId="0" applyFont="1" applyBorder="1" applyAlignment="1">
      <alignment horizontal="center" vertical="center"/>
    </xf>
    <xf numFmtId="0" fontId="3" fillId="2" borderId="13" xfId="0" applyFont="1" applyFill="1" applyBorder="1" applyAlignment="1" applyProtection="1">
      <alignment vertical="center"/>
      <protection locked="0"/>
    </xf>
    <xf numFmtId="0" fontId="3" fillId="2" borderId="15" xfId="0" applyFont="1" applyFill="1" applyBorder="1" applyAlignment="1" applyProtection="1">
      <alignment vertical="center"/>
      <protection locked="0"/>
    </xf>
    <xf numFmtId="0" fontId="0" fillId="7" borderId="0" xfId="0" quotePrefix="1" applyFill="1" applyAlignment="1">
      <alignment horizontal="center"/>
    </xf>
    <xf numFmtId="0" fontId="0" fillId="5" borderId="0" xfId="0" quotePrefix="1" applyFill="1" applyAlignment="1">
      <alignment horizontal="center"/>
    </xf>
    <xf numFmtId="0" fontId="0" fillId="0" borderId="0" xfId="0" quotePrefix="1" applyAlignment="1">
      <alignment horizontal="center"/>
    </xf>
    <xf numFmtId="0" fontId="0" fillId="8" borderId="0" xfId="0" quotePrefix="1" applyFill="1" applyAlignment="1">
      <alignment horizontal="center"/>
    </xf>
  </cellXfs>
  <cellStyles count="7">
    <cellStyle name="Comma" xfId="4" builtinId="3"/>
    <cellStyle name="Comma 2" xfId="1" xr:uid="{00000000-0005-0000-0000-000001000000}"/>
    <cellStyle name="Currency 2" xfId="2" xr:uid="{00000000-0005-0000-0000-000002000000}"/>
    <cellStyle name="Hyperlink" xfId="6" builtinId="8"/>
    <cellStyle name="Normal" xfId="0" builtinId="0"/>
    <cellStyle name="Percent" xfId="5"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'3-Cash Flow Chart'!$B$87</c:f>
          <c:strCache>
            <c:ptCount val="1"/>
            <c:pt idx="0">
              <c:v>MONTHLY CASH FLOW ESTIMATE - GENERAL FUND FOR FISCAL YEAR ENDING-JUN-2025</c:v>
            </c:pt>
          </c:strCache>
        </c:strRef>
      </c:tx>
      <c:overlay val="0"/>
      <c:txPr>
        <a:bodyPr/>
        <a:lstStyle/>
        <a:p>
          <a:pPr>
            <a:defRPr sz="1800"/>
          </a:pPr>
          <a:endParaRPr lang="en-US"/>
        </a:p>
      </c:txPr>
    </c:title>
    <c:autoTitleDeleted val="0"/>
    <c:plotArea>
      <c:layout/>
      <c:areaChart>
        <c:grouping val="standard"/>
        <c:varyColors val="0"/>
        <c:ser>
          <c:idx val="2"/>
          <c:order val="2"/>
          <c:tx>
            <c:strRef>
              <c:f>'3-Cash Flow Chart'!$D$83</c:f>
              <c:strCache>
                <c:ptCount val="1"/>
                <c:pt idx="0">
                  <c:v> Cash Bal-Positive </c:v>
                </c:pt>
              </c:strCache>
            </c:strRef>
          </c:tx>
          <c:spPr>
            <a:solidFill>
              <a:schemeClr val="bg1">
                <a:lumMod val="75000"/>
              </a:schemeClr>
            </a:solidFill>
          </c:spPr>
          <c:cat>
            <c:strRef>
              <c:f>'3-Cash Flow Chart'!$E$46:$AN$46</c:f>
              <c:strCache>
                <c:ptCount val="36"/>
                <c:pt idx="0">
                  <c:v>JUL-2024</c:v>
                </c:pt>
                <c:pt idx="1">
                  <c:v>AUG-2024</c:v>
                </c:pt>
                <c:pt idx="2">
                  <c:v>SEP-2024</c:v>
                </c:pt>
                <c:pt idx="3">
                  <c:v>OCT-2024</c:v>
                </c:pt>
                <c:pt idx="4">
                  <c:v>NOV-2024</c:v>
                </c:pt>
                <c:pt idx="5">
                  <c:v>DEC-2024</c:v>
                </c:pt>
                <c:pt idx="6">
                  <c:v>JAN-2025</c:v>
                </c:pt>
                <c:pt idx="7">
                  <c:v>FEB-2025</c:v>
                </c:pt>
                <c:pt idx="8">
                  <c:v>MAR-2025</c:v>
                </c:pt>
                <c:pt idx="9">
                  <c:v>APR-2025</c:v>
                </c:pt>
                <c:pt idx="10">
                  <c:v>MAY-2025</c:v>
                </c:pt>
                <c:pt idx="11">
                  <c:v>JUN-2025</c:v>
                </c:pt>
                <c:pt idx="12">
                  <c:v>JUL-2025</c:v>
                </c:pt>
                <c:pt idx="13">
                  <c:v>AUG-2025</c:v>
                </c:pt>
                <c:pt idx="14">
                  <c:v>SEP-2025</c:v>
                </c:pt>
                <c:pt idx="15">
                  <c:v>OCT-2025</c:v>
                </c:pt>
                <c:pt idx="16">
                  <c:v>NOV-2025</c:v>
                </c:pt>
                <c:pt idx="17">
                  <c:v>DEC-2025</c:v>
                </c:pt>
                <c:pt idx="18">
                  <c:v>JAN-2026</c:v>
                </c:pt>
                <c:pt idx="19">
                  <c:v>FEB-2026</c:v>
                </c:pt>
                <c:pt idx="20">
                  <c:v>MAR-2026</c:v>
                </c:pt>
                <c:pt idx="21">
                  <c:v>APR-2026</c:v>
                </c:pt>
                <c:pt idx="22">
                  <c:v>MAY-2026</c:v>
                </c:pt>
                <c:pt idx="23">
                  <c:v>JUN-2026</c:v>
                </c:pt>
                <c:pt idx="24">
                  <c:v>JUL-2026</c:v>
                </c:pt>
                <c:pt idx="25">
                  <c:v>AUG-2026</c:v>
                </c:pt>
                <c:pt idx="26">
                  <c:v>SEP-2026</c:v>
                </c:pt>
                <c:pt idx="27">
                  <c:v>OCT-2026</c:v>
                </c:pt>
                <c:pt idx="28">
                  <c:v>NOV-2026</c:v>
                </c:pt>
                <c:pt idx="29">
                  <c:v>DEC-2026</c:v>
                </c:pt>
                <c:pt idx="30">
                  <c:v>JAN-2027</c:v>
                </c:pt>
                <c:pt idx="31">
                  <c:v>FEB-2027</c:v>
                </c:pt>
                <c:pt idx="32">
                  <c:v>MAR-2027</c:v>
                </c:pt>
                <c:pt idx="33">
                  <c:v>APR-2027</c:v>
                </c:pt>
                <c:pt idx="34">
                  <c:v>MAY-2027</c:v>
                </c:pt>
                <c:pt idx="35">
                  <c:v>JUN-2027</c:v>
                </c:pt>
              </c:strCache>
            </c:strRef>
          </c:cat>
          <c:val>
            <c:numRef>
              <c:f>'3-Cash Flow Chart'!$E$83:$AN$83</c:f>
              <c:numCache>
                <c:formatCode>_(* #,##0_);_(* \(#,##0\);_(* "-"??_);_(@_)</c:formatCode>
                <c:ptCount val="36"/>
                <c:pt idx="0">
                  <c:v>69253.859999999986</c:v>
                </c:pt>
                <c:pt idx="1">
                  <c:v>44229.493999999977</c:v>
                </c:pt>
                <c:pt idx="2">
                  <c:v>22912.352999999981</c:v>
                </c:pt>
                <c:pt idx="3">
                  <c:v>127885.17</c:v>
                </c:pt>
                <c:pt idx="4">
                  <c:v>227090.68800000002</c:v>
                </c:pt>
                <c:pt idx="5">
                  <c:v>179871.87600000005</c:v>
                </c:pt>
                <c:pt idx="6">
                  <c:v>70732.965000000055</c:v>
                </c:pt>
                <c:pt idx="7">
                  <c:v>64694.220000000059</c:v>
                </c:pt>
                <c:pt idx="8">
                  <c:v>97239.478000000061</c:v>
                </c:pt>
                <c:pt idx="9">
                  <c:v>230677.14000000007</c:v>
                </c:pt>
                <c:pt idx="10">
                  <c:v>196369.59300000011</c:v>
                </c:pt>
                <c:pt idx="11">
                  <c:v>95346.972000000096</c:v>
                </c:pt>
                <c:pt idx="12">
                  <c:v>86308.095267721073</c:v>
                </c:pt>
                <c:pt idx="13">
                  <c:v>86680.258173176597</c:v>
                </c:pt>
                <c:pt idx="14">
                  <c:v>95959.622343127645</c:v>
                </c:pt>
                <c:pt idx="15">
                  <c:v>198622.9297566411</c:v>
                </c:pt>
                <c:pt idx="16">
                  <c:v>288385.82523348869</c:v>
                </c:pt>
                <c:pt idx="17">
                  <c:v>223734.72143425388</c:v>
                </c:pt>
                <c:pt idx="18">
                  <c:v>122889.75114955791</c:v>
                </c:pt>
                <c:pt idx="19">
                  <c:v>114225.85640978388</c:v>
                </c:pt>
                <c:pt idx="20">
                  <c:v>139783.69638784049</c:v>
                </c:pt>
                <c:pt idx="21">
                  <c:v>263182.66063281684</c:v>
                </c:pt>
                <c:pt idx="22">
                  <c:v>185042.6149462749</c:v>
                </c:pt>
                <c:pt idx="23">
                  <c:v>141127.54747588915</c:v>
                </c:pt>
                <c:pt idx="24">
                  <c:v>130968.00860875228</c:v>
                </c:pt>
                <c:pt idx="25">
                  <c:v>130474.93552466857</c:v>
                </c:pt>
                <c:pt idx="26">
                  <c:v>139040.1407020617</c:v>
                </c:pt>
                <c:pt idx="27">
                  <c:v>244286.1678013003</c:v>
                </c:pt>
                <c:pt idx="28">
                  <c:v>335985.97188290843</c:v>
                </c:pt>
                <c:pt idx="29">
                  <c:v>268323.93085608375</c:v>
                </c:pt>
                <c:pt idx="30">
                  <c:v>163537.05363797318</c:v>
                </c:pt>
                <c:pt idx="31">
                  <c:v>153870.57604306555</c:v>
                </c:pt>
                <c:pt idx="32">
                  <c:v>179695.19162346495</c:v>
                </c:pt>
                <c:pt idx="33">
                  <c:v>306239.93827802222</c:v>
                </c:pt>
                <c:pt idx="34">
                  <c:v>224443.00477459619</c:v>
                </c:pt>
                <c:pt idx="35">
                  <c:v>178220.76047097804</c:v>
                </c:pt>
              </c:numCache>
            </c:numRef>
          </c:val>
          <c:extLst>
            <c:ext xmlns:c16="http://schemas.microsoft.com/office/drawing/2014/chart" uri="{C3380CC4-5D6E-409C-BE32-E72D297353CC}">
              <c16:uniqueId val="{00000000-4CA6-4A93-85F0-F54C5DFFA8C9}"/>
            </c:ext>
          </c:extLst>
        </c:ser>
        <c:ser>
          <c:idx val="3"/>
          <c:order val="3"/>
          <c:tx>
            <c:strRef>
              <c:f>'3-Cash Flow Chart'!$D$84</c:f>
              <c:strCache>
                <c:ptCount val="1"/>
                <c:pt idx="0">
                  <c:v> Cash Bal-Negative </c:v>
                </c:pt>
              </c:strCache>
            </c:strRef>
          </c:tx>
          <c:spPr>
            <a:solidFill>
              <a:srgbClr val="FF0000"/>
            </a:solidFill>
          </c:spPr>
          <c:cat>
            <c:strRef>
              <c:f>'3-Cash Flow Chart'!$E$46:$AN$46</c:f>
              <c:strCache>
                <c:ptCount val="36"/>
                <c:pt idx="0">
                  <c:v>JUL-2024</c:v>
                </c:pt>
                <c:pt idx="1">
                  <c:v>AUG-2024</c:v>
                </c:pt>
                <c:pt idx="2">
                  <c:v>SEP-2024</c:v>
                </c:pt>
                <c:pt idx="3">
                  <c:v>OCT-2024</c:v>
                </c:pt>
                <c:pt idx="4">
                  <c:v>NOV-2024</c:v>
                </c:pt>
                <c:pt idx="5">
                  <c:v>DEC-2024</c:v>
                </c:pt>
                <c:pt idx="6">
                  <c:v>JAN-2025</c:v>
                </c:pt>
                <c:pt idx="7">
                  <c:v>FEB-2025</c:v>
                </c:pt>
                <c:pt idx="8">
                  <c:v>MAR-2025</c:v>
                </c:pt>
                <c:pt idx="9">
                  <c:v>APR-2025</c:v>
                </c:pt>
                <c:pt idx="10">
                  <c:v>MAY-2025</c:v>
                </c:pt>
                <c:pt idx="11">
                  <c:v>JUN-2025</c:v>
                </c:pt>
                <c:pt idx="12">
                  <c:v>JUL-2025</c:v>
                </c:pt>
                <c:pt idx="13">
                  <c:v>AUG-2025</c:v>
                </c:pt>
                <c:pt idx="14">
                  <c:v>SEP-2025</c:v>
                </c:pt>
                <c:pt idx="15">
                  <c:v>OCT-2025</c:v>
                </c:pt>
                <c:pt idx="16">
                  <c:v>NOV-2025</c:v>
                </c:pt>
                <c:pt idx="17">
                  <c:v>DEC-2025</c:v>
                </c:pt>
                <c:pt idx="18">
                  <c:v>JAN-2026</c:v>
                </c:pt>
                <c:pt idx="19">
                  <c:v>FEB-2026</c:v>
                </c:pt>
                <c:pt idx="20">
                  <c:v>MAR-2026</c:v>
                </c:pt>
                <c:pt idx="21">
                  <c:v>APR-2026</c:v>
                </c:pt>
                <c:pt idx="22">
                  <c:v>MAY-2026</c:v>
                </c:pt>
                <c:pt idx="23">
                  <c:v>JUN-2026</c:v>
                </c:pt>
                <c:pt idx="24">
                  <c:v>JUL-2026</c:v>
                </c:pt>
                <c:pt idx="25">
                  <c:v>AUG-2026</c:v>
                </c:pt>
                <c:pt idx="26">
                  <c:v>SEP-2026</c:v>
                </c:pt>
                <c:pt idx="27">
                  <c:v>OCT-2026</c:v>
                </c:pt>
                <c:pt idx="28">
                  <c:v>NOV-2026</c:v>
                </c:pt>
                <c:pt idx="29">
                  <c:v>DEC-2026</c:v>
                </c:pt>
                <c:pt idx="30">
                  <c:v>JAN-2027</c:v>
                </c:pt>
                <c:pt idx="31">
                  <c:v>FEB-2027</c:v>
                </c:pt>
                <c:pt idx="32">
                  <c:v>MAR-2027</c:v>
                </c:pt>
                <c:pt idx="33">
                  <c:v>APR-2027</c:v>
                </c:pt>
                <c:pt idx="34">
                  <c:v>MAY-2027</c:v>
                </c:pt>
                <c:pt idx="35">
                  <c:v>JUN-2027</c:v>
                </c:pt>
              </c:strCache>
            </c:strRef>
          </c:cat>
          <c:val>
            <c:numRef>
              <c:f>'3-Cash Flow Chart'!$E$84:$AN$84</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1-4CA6-4A93-85F0-F54C5DFFA8C9}"/>
            </c:ext>
          </c:extLst>
        </c:ser>
        <c:dLbls>
          <c:showLegendKey val="0"/>
          <c:showVal val="0"/>
          <c:showCatName val="0"/>
          <c:showSerName val="0"/>
          <c:showPercent val="0"/>
          <c:showBubbleSize val="0"/>
        </c:dLbls>
        <c:axId val="446091880"/>
        <c:axId val="446087568"/>
      </c:areaChart>
      <c:lineChart>
        <c:grouping val="standard"/>
        <c:varyColors val="0"/>
        <c:ser>
          <c:idx val="0"/>
          <c:order val="0"/>
          <c:tx>
            <c:strRef>
              <c:f>'3-Cash Flow Chart'!$D$64</c:f>
              <c:strCache>
                <c:ptCount val="1"/>
                <c:pt idx="0">
                  <c:v>Inflows</c:v>
                </c:pt>
              </c:strCache>
            </c:strRef>
          </c:tx>
          <c:spPr>
            <a:ln>
              <a:solidFill>
                <a:schemeClr val="tx1"/>
              </a:solidFill>
            </a:ln>
          </c:spPr>
          <c:marker>
            <c:symbol val="none"/>
          </c:marker>
          <c:cat>
            <c:strRef>
              <c:f>'3-Cash Flow Chart'!$E$46:$AN$46</c:f>
              <c:strCache>
                <c:ptCount val="36"/>
                <c:pt idx="0">
                  <c:v>JUL-2024</c:v>
                </c:pt>
                <c:pt idx="1">
                  <c:v>AUG-2024</c:v>
                </c:pt>
                <c:pt idx="2">
                  <c:v>SEP-2024</c:v>
                </c:pt>
                <c:pt idx="3">
                  <c:v>OCT-2024</c:v>
                </c:pt>
                <c:pt idx="4">
                  <c:v>NOV-2024</c:v>
                </c:pt>
                <c:pt idx="5">
                  <c:v>DEC-2024</c:v>
                </c:pt>
                <c:pt idx="6">
                  <c:v>JAN-2025</c:v>
                </c:pt>
                <c:pt idx="7">
                  <c:v>FEB-2025</c:v>
                </c:pt>
                <c:pt idx="8">
                  <c:v>MAR-2025</c:v>
                </c:pt>
                <c:pt idx="9">
                  <c:v>APR-2025</c:v>
                </c:pt>
                <c:pt idx="10">
                  <c:v>MAY-2025</c:v>
                </c:pt>
                <c:pt idx="11">
                  <c:v>JUN-2025</c:v>
                </c:pt>
                <c:pt idx="12">
                  <c:v>JUL-2025</c:v>
                </c:pt>
                <c:pt idx="13">
                  <c:v>AUG-2025</c:v>
                </c:pt>
                <c:pt idx="14">
                  <c:v>SEP-2025</c:v>
                </c:pt>
                <c:pt idx="15">
                  <c:v>OCT-2025</c:v>
                </c:pt>
                <c:pt idx="16">
                  <c:v>NOV-2025</c:v>
                </c:pt>
                <c:pt idx="17">
                  <c:v>DEC-2025</c:v>
                </c:pt>
                <c:pt idx="18">
                  <c:v>JAN-2026</c:v>
                </c:pt>
                <c:pt idx="19">
                  <c:v>FEB-2026</c:v>
                </c:pt>
                <c:pt idx="20">
                  <c:v>MAR-2026</c:v>
                </c:pt>
                <c:pt idx="21">
                  <c:v>APR-2026</c:v>
                </c:pt>
                <c:pt idx="22">
                  <c:v>MAY-2026</c:v>
                </c:pt>
                <c:pt idx="23">
                  <c:v>JUN-2026</c:v>
                </c:pt>
                <c:pt idx="24">
                  <c:v>JUL-2026</c:v>
                </c:pt>
                <c:pt idx="25">
                  <c:v>AUG-2026</c:v>
                </c:pt>
                <c:pt idx="26">
                  <c:v>SEP-2026</c:v>
                </c:pt>
                <c:pt idx="27">
                  <c:v>OCT-2026</c:v>
                </c:pt>
                <c:pt idx="28">
                  <c:v>NOV-2026</c:v>
                </c:pt>
                <c:pt idx="29">
                  <c:v>DEC-2026</c:v>
                </c:pt>
                <c:pt idx="30">
                  <c:v>JAN-2027</c:v>
                </c:pt>
                <c:pt idx="31">
                  <c:v>FEB-2027</c:v>
                </c:pt>
                <c:pt idx="32">
                  <c:v>MAR-2027</c:v>
                </c:pt>
                <c:pt idx="33">
                  <c:v>APR-2027</c:v>
                </c:pt>
                <c:pt idx="34">
                  <c:v>MAY-2027</c:v>
                </c:pt>
                <c:pt idx="35">
                  <c:v>JUN-2027</c:v>
                </c:pt>
              </c:strCache>
            </c:strRef>
          </c:cat>
          <c:val>
            <c:numRef>
              <c:f>'3-Cash Flow Chart'!$E$64:$AN$64</c:f>
              <c:numCache>
                <c:formatCode>_(* #,##0_);_(* \(#,##0\);_(* "-"??_);_(@_)</c:formatCode>
                <c:ptCount val="36"/>
                <c:pt idx="0">
                  <c:v>46172.302999999993</c:v>
                </c:pt>
                <c:pt idx="1">
                  <c:v>43958.087999999996</c:v>
                </c:pt>
                <c:pt idx="2">
                  <c:v>28151.247000000003</c:v>
                </c:pt>
                <c:pt idx="3">
                  <c:v>136993.61700000003</c:v>
                </c:pt>
                <c:pt idx="4">
                  <c:v>183176.21800000002</c:v>
                </c:pt>
                <c:pt idx="5">
                  <c:v>88699.588000000018</c:v>
                </c:pt>
                <c:pt idx="6">
                  <c:v>35041.089</c:v>
                </c:pt>
                <c:pt idx="7">
                  <c:v>33514.455000000002</c:v>
                </c:pt>
                <c:pt idx="8">
                  <c:v>71247.05799999999</c:v>
                </c:pt>
                <c:pt idx="9">
                  <c:v>218305.36200000002</c:v>
                </c:pt>
                <c:pt idx="10">
                  <c:v>76258.753000000012</c:v>
                </c:pt>
                <c:pt idx="11">
                  <c:v>29948.078999999998</c:v>
                </c:pt>
                <c:pt idx="12">
                  <c:v>29985.359398265711</c:v>
                </c:pt>
                <c:pt idx="13">
                  <c:v>42945.382275923308</c:v>
                </c:pt>
                <c:pt idx="14">
                  <c:v>40183.520940201604</c:v>
                </c:pt>
                <c:pt idx="15">
                  <c:v>137277.75957263735</c:v>
                </c:pt>
                <c:pt idx="16">
                  <c:v>177595.61009977982</c:v>
                </c:pt>
                <c:pt idx="17">
                  <c:v>80689.545049128705</c:v>
                </c:pt>
                <c:pt idx="18">
                  <c:v>41445.164766825575</c:v>
                </c:pt>
                <c:pt idx="19">
                  <c:v>32343.842128982302</c:v>
                </c:pt>
                <c:pt idx="20">
                  <c:v>63207.265981690092</c:v>
                </c:pt>
                <c:pt idx="21">
                  <c:v>210786.61995742455</c:v>
                </c:pt>
                <c:pt idx="22">
                  <c:v>86115.779723207583</c:v>
                </c:pt>
                <c:pt idx="23">
                  <c:v>40088.219245933346</c:v>
                </c:pt>
                <c:pt idx="24">
                  <c:v>30221.362966266821</c:v>
                </c:pt>
                <c:pt idx="25">
                  <c:v>43138.14336538627</c:v>
                </c:pt>
                <c:pt idx="26">
                  <c:v>40593.331782589827</c:v>
                </c:pt>
                <c:pt idx="27">
                  <c:v>141029.86084500875</c:v>
                </c:pt>
                <c:pt idx="28">
                  <c:v>182372.73246788539</c:v>
                </c:pt>
                <c:pt idx="29">
                  <c:v>81047.294399541133</c:v>
                </c:pt>
                <c:pt idx="30">
                  <c:v>41890.22137339136</c:v>
                </c:pt>
                <c:pt idx="31">
                  <c:v>32663.681351204679</c:v>
                </c:pt>
                <c:pt idx="32">
                  <c:v>64723.842640960502</c:v>
                </c:pt>
                <c:pt idx="33">
                  <c:v>216721.46519231889</c:v>
                </c:pt>
                <c:pt idx="34">
                  <c:v>86472.839940880847</c:v>
                </c:pt>
                <c:pt idx="35">
                  <c:v>40406.275332765566</c:v>
                </c:pt>
              </c:numCache>
            </c:numRef>
          </c:val>
          <c:smooth val="0"/>
          <c:extLst>
            <c:ext xmlns:c16="http://schemas.microsoft.com/office/drawing/2014/chart" uri="{C3380CC4-5D6E-409C-BE32-E72D297353CC}">
              <c16:uniqueId val="{00000002-4CA6-4A93-85F0-F54C5DFFA8C9}"/>
            </c:ext>
          </c:extLst>
        </c:ser>
        <c:ser>
          <c:idx val="1"/>
          <c:order val="1"/>
          <c:tx>
            <c:strRef>
              <c:f>'3-Cash Flow Chart'!$D$82</c:f>
              <c:strCache>
                <c:ptCount val="1"/>
                <c:pt idx="0">
                  <c:v>Outflows</c:v>
                </c:pt>
              </c:strCache>
            </c:strRef>
          </c:tx>
          <c:spPr>
            <a:ln w="34925">
              <a:solidFill>
                <a:srgbClr val="FF0000"/>
              </a:solidFill>
              <a:prstDash val="dash"/>
            </a:ln>
          </c:spPr>
          <c:marker>
            <c:symbol val="none"/>
          </c:marker>
          <c:cat>
            <c:strRef>
              <c:f>'3-Cash Flow Chart'!$E$46:$AN$46</c:f>
              <c:strCache>
                <c:ptCount val="36"/>
                <c:pt idx="0">
                  <c:v>JUL-2024</c:v>
                </c:pt>
                <c:pt idx="1">
                  <c:v>AUG-2024</c:v>
                </c:pt>
                <c:pt idx="2">
                  <c:v>SEP-2024</c:v>
                </c:pt>
                <c:pt idx="3">
                  <c:v>OCT-2024</c:v>
                </c:pt>
                <c:pt idx="4">
                  <c:v>NOV-2024</c:v>
                </c:pt>
                <c:pt idx="5">
                  <c:v>DEC-2024</c:v>
                </c:pt>
                <c:pt idx="6">
                  <c:v>JAN-2025</c:v>
                </c:pt>
                <c:pt idx="7">
                  <c:v>FEB-2025</c:v>
                </c:pt>
                <c:pt idx="8">
                  <c:v>MAR-2025</c:v>
                </c:pt>
                <c:pt idx="9">
                  <c:v>APR-2025</c:v>
                </c:pt>
                <c:pt idx="10">
                  <c:v>MAY-2025</c:v>
                </c:pt>
                <c:pt idx="11">
                  <c:v>JUN-2025</c:v>
                </c:pt>
                <c:pt idx="12">
                  <c:v>JUL-2025</c:v>
                </c:pt>
                <c:pt idx="13">
                  <c:v>AUG-2025</c:v>
                </c:pt>
                <c:pt idx="14">
                  <c:v>SEP-2025</c:v>
                </c:pt>
                <c:pt idx="15">
                  <c:v>OCT-2025</c:v>
                </c:pt>
                <c:pt idx="16">
                  <c:v>NOV-2025</c:v>
                </c:pt>
                <c:pt idx="17">
                  <c:v>DEC-2025</c:v>
                </c:pt>
                <c:pt idx="18">
                  <c:v>JAN-2026</c:v>
                </c:pt>
                <c:pt idx="19">
                  <c:v>FEB-2026</c:v>
                </c:pt>
                <c:pt idx="20">
                  <c:v>MAR-2026</c:v>
                </c:pt>
                <c:pt idx="21">
                  <c:v>APR-2026</c:v>
                </c:pt>
                <c:pt idx="22">
                  <c:v>MAY-2026</c:v>
                </c:pt>
                <c:pt idx="23">
                  <c:v>JUN-2026</c:v>
                </c:pt>
                <c:pt idx="24">
                  <c:v>JUL-2026</c:v>
                </c:pt>
                <c:pt idx="25">
                  <c:v>AUG-2026</c:v>
                </c:pt>
                <c:pt idx="26">
                  <c:v>SEP-2026</c:v>
                </c:pt>
                <c:pt idx="27">
                  <c:v>OCT-2026</c:v>
                </c:pt>
                <c:pt idx="28">
                  <c:v>NOV-2026</c:v>
                </c:pt>
                <c:pt idx="29">
                  <c:v>DEC-2026</c:v>
                </c:pt>
                <c:pt idx="30">
                  <c:v>JAN-2027</c:v>
                </c:pt>
                <c:pt idx="31">
                  <c:v>FEB-2027</c:v>
                </c:pt>
                <c:pt idx="32">
                  <c:v>MAR-2027</c:v>
                </c:pt>
                <c:pt idx="33">
                  <c:v>APR-2027</c:v>
                </c:pt>
                <c:pt idx="34">
                  <c:v>MAY-2027</c:v>
                </c:pt>
                <c:pt idx="35">
                  <c:v>JUN-2027</c:v>
                </c:pt>
              </c:strCache>
            </c:strRef>
          </c:cat>
          <c:val>
            <c:numRef>
              <c:f>'3-Cash Flow Chart'!$E$82:$AN$82</c:f>
              <c:numCache>
                <c:formatCode>_(* #,##0_);_(* \(#,##0\);_(* "-"??_);_(@_)</c:formatCode>
                <c:ptCount val="36"/>
                <c:pt idx="0">
                  <c:v>37230.442999999999</c:v>
                </c:pt>
                <c:pt idx="1">
                  <c:v>68982.453999999998</c:v>
                </c:pt>
                <c:pt idx="2">
                  <c:v>49468.387999999999</c:v>
                </c:pt>
                <c:pt idx="3">
                  <c:v>32020.799999999999</c:v>
                </c:pt>
                <c:pt idx="4">
                  <c:v>83970.700000000012</c:v>
                </c:pt>
                <c:pt idx="5">
                  <c:v>135918.40000000002</c:v>
                </c:pt>
                <c:pt idx="6">
                  <c:v>144180</c:v>
                </c:pt>
                <c:pt idx="7">
                  <c:v>39553.199999999997</c:v>
                </c:pt>
                <c:pt idx="8">
                  <c:v>38701.799999999996</c:v>
                </c:pt>
                <c:pt idx="9">
                  <c:v>84867.700000000012</c:v>
                </c:pt>
                <c:pt idx="10">
                  <c:v>110566.3</c:v>
                </c:pt>
                <c:pt idx="11">
                  <c:v>130970.70000000001</c:v>
                </c:pt>
                <c:pt idx="12">
                  <c:v>39024.236130544741</c:v>
                </c:pt>
                <c:pt idx="13">
                  <c:v>42573.219370467777</c:v>
                </c:pt>
                <c:pt idx="14">
                  <c:v>30904.156770250549</c:v>
                </c:pt>
                <c:pt idx="15">
                  <c:v>34614.452159123888</c:v>
                </c:pt>
                <c:pt idx="16">
                  <c:v>87832.714622932283</c:v>
                </c:pt>
                <c:pt idx="17">
                  <c:v>145340.64884836352</c:v>
                </c:pt>
                <c:pt idx="18">
                  <c:v>142290.13505152156</c:v>
                </c:pt>
                <c:pt idx="19">
                  <c:v>41007.736868756321</c:v>
                </c:pt>
                <c:pt idx="20">
                  <c:v>37649.426003633467</c:v>
                </c:pt>
                <c:pt idx="21">
                  <c:v>87387.655712448206</c:v>
                </c:pt>
                <c:pt idx="22">
                  <c:v>164255.82540974952</c:v>
                </c:pt>
                <c:pt idx="23">
                  <c:v>84003.286716319097</c:v>
                </c:pt>
                <c:pt idx="24">
                  <c:v>40380.901833403681</c:v>
                </c:pt>
                <c:pt idx="25">
                  <c:v>43631.216449469961</c:v>
                </c:pt>
                <c:pt idx="26">
                  <c:v>32028.126605196692</c:v>
                </c:pt>
                <c:pt idx="27">
                  <c:v>35783.833745770142</c:v>
                </c:pt>
                <c:pt idx="28">
                  <c:v>90672.928386277214</c:v>
                </c:pt>
                <c:pt idx="29">
                  <c:v>148709.33542636581</c:v>
                </c:pt>
                <c:pt idx="30">
                  <c:v>146677.09859150191</c:v>
                </c:pt>
                <c:pt idx="31">
                  <c:v>42330.158946112293</c:v>
                </c:pt>
                <c:pt idx="32">
                  <c:v>38899.227060561105</c:v>
                </c:pt>
                <c:pt idx="33">
                  <c:v>90176.718537761597</c:v>
                </c:pt>
                <c:pt idx="34">
                  <c:v>168269.77344430686</c:v>
                </c:pt>
                <c:pt idx="35">
                  <c:v>86628.519636383673</c:v>
                </c:pt>
              </c:numCache>
            </c:numRef>
          </c:val>
          <c:smooth val="0"/>
          <c:extLst>
            <c:ext xmlns:c16="http://schemas.microsoft.com/office/drawing/2014/chart" uri="{C3380CC4-5D6E-409C-BE32-E72D297353CC}">
              <c16:uniqueId val="{00000003-4CA6-4A93-85F0-F54C5DFFA8C9}"/>
            </c:ext>
          </c:extLst>
        </c:ser>
        <c:dLbls>
          <c:showLegendKey val="0"/>
          <c:showVal val="0"/>
          <c:showCatName val="0"/>
          <c:showSerName val="0"/>
          <c:showPercent val="0"/>
          <c:showBubbleSize val="0"/>
        </c:dLbls>
        <c:marker val="1"/>
        <c:smooth val="0"/>
        <c:axId val="446091880"/>
        <c:axId val="446087568"/>
      </c:lineChart>
      <c:catAx>
        <c:axId val="446091880"/>
        <c:scaling>
          <c:orientation val="minMax"/>
        </c:scaling>
        <c:delete val="0"/>
        <c:axPos val="b"/>
        <c:majorGridlines/>
        <c:numFmt formatCode="General" sourceLinked="0"/>
        <c:majorTickMark val="none"/>
        <c:minorTickMark val="none"/>
        <c:tickLblPos val="nextTo"/>
        <c:crossAx val="446087568"/>
        <c:crosses val="autoZero"/>
        <c:auto val="1"/>
        <c:lblAlgn val="ctr"/>
        <c:lblOffset val="100"/>
        <c:noMultiLvlLbl val="0"/>
      </c:catAx>
      <c:valAx>
        <c:axId val="446087568"/>
        <c:scaling>
          <c:orientation val="minMax"/>
        </c:scaling>
        <c:delete val="0"/>
        <c:axPos val="l"/>
        <c:majorGridlines/>
        <c:title>
          <c:tx>
            <c:rich>
              <a:bodyPr/>
              <a:lstStyle/>
              <a:p>
                <a:pPr>
                  <a:defRPr sz="1800"/>
                </a:pPr>
                <a:r>
                  <a:rPr lang="en-US" sz="1800"/>
                  <a:t>$ THOUSANDS</a:t>
                </a:r>
              </a:p>
            </c:rich>
          </c:tx>
          <c:overlay val="0"/>
        </c:title>
        <c:numFmt formatCode="&quot;$&quot;#,##0" sourceLinked="0"/>
        <c:majorTickMark val="none"/>
        <c:minorTickMark val="none"/>
        <c:tickLblPos val="nextTo"/>
        <c:txPr>
          <a:bodyPr/>
          <a:lstStyle/>
          <a:p>
            <a:pPr>
              <a:defRPr sz="1600"/>
            </a:pPr>
            <a:endParaRPr lang="en-US"/>
          </a:p>
        </c:txPr>
        <c:crossAx val="446091880"/>
        <c:crosses val="autoZero"/>
        <c:crossBetween val="between"/>
      </c:valAx>
      <c:dTable>
        <c:showHorzBorder val="1"/>
        <c:showVertBorder val="1"/>
        <c:showOutline val="1"/>
        <c:showKeys val="1"/>
        <c:txPr>
          <a:bodyPr/>
          <a:lstStyle/>
          <a:p>
            <a:pPr rtl="0">
              <a:defRPr sz="1000"/>
            </a:pPr>
            <a:endParaRPr lang="en-US"/>
          </a:p>
        </c:txPr>
      </c:dTable>
      <c:spPr>
        <a:solidFill>
          <a:schemeClr val="bg1">
            <a:lumMod val="95000"/>
          </a:schemeClr>
        </a:solidFill>
      </c:spPr>
    </c:plotArea>
    <c:plotVisOnly val="1"/>
    <c:dispBlanksAs val="gap"/>
    <c:showDLblsOverMax val="0"/>
  </c:chart>
  <c:spPr>
    <a:solidFill>
      <a:schemeClr val="lt1"/>
    </a:solidFill>
    <a:ln w="25400" cap="flat" cmpd="sng" algn="ctr">
      <a:solidFill>
        <a:schemeClr val="dk1"/>
      </a:solidFill>
      <a:prstDash val="solid"/>
    </a:ln>
    <a:effectLst/>
  </c:spPr>
  <c:txPr>
    <a:bodyPr/>
    <a:lstStyle/>
    <a:p>
      <a:pPr>
        <a:defRPr sz="1200" b="1">
          <a:solidFill>
            <a:schemeClr val="dk1"/>
          </a:solidFill>
          <a:latin typeface="+mn-lt"/>
          <a:ea typeface="+mn-ea"/>
          <a:cs typeface="+mn-cs"/>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38100</xdr:colOff>
      <xdr:row>4</xdr:row>
      <xdr:rowOff>47625</xdr:rowOff>
    </xdr:from>
    <xdr:to>
      <xdr:col>39</xdr:col>
      <xdr:colOff>542925</xdr:colOff>
      <xdr:row>38</xdr:row>
      <xdr:rowOff>161925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Users/Chris/Desktop/MuniCast/Pittsburgh%20PA/MuniCast-Pittsburgh%20PA-WIP053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1-Instructions"/>
      <sheetName val="2-Chart Gallery"/>
      <sheetName val="3-Summary"/>
      <sheetName val="4a-Monthly Charts"/>
      <sheetName val="4c-AcctType Summary"/>
      <sheetName val="4d-DeptGroup Summary"/>
      <sheetName val="5-Sensitivity Analysis"/>
      <sheetName val="6-Scenario Options"/>
      <sheetName val="7-Forecast Assumptions"/>
      <sheetName val="8-Statistical Analysis"/>
      <sheetName val="9-Trend Analysis-Acct Type"/>
      <sheetName val="10-Trend Analysis-Dept"/>
      <sheetName val="11-Revs-Exps-Transfers"/>
      <sheetName val="12-Fund Balances"/>
      <sheetName val="13-Capital Improvements"/>
      <sheetName val="14-Debt Service"/>
      <sheetName val="15-FTE Personnel"/>
      <sheetName val="16-Account Master"/>
    </sheetNames>
    <sheetDataSet>
      <sheetData sheetId="0"/>
      <sheetData sheetId="1" refreshError="1"/>
      <sheetData sheetId="2">
        <row r="99">
          <cell r="D99">
            <v>92.112166999999999</v>
          </cell>
        </row>
        <row r="100">
          <cell r="D100">
            <v>0.20631732255264115</v>
          </cell>
        </row>
        <row r="113">
          <cell r="D113">
            <v>462.56351464000016</v>
          </cell>
        </row>
        <row r="114">
          <cell r="D114">
            <v>446.45871640999945</v>
          </cell>
        </row>
        <row r="124">
          <cell r="D124">
            <v>132.37083142999998</v>
          </cell>
        </row>
        <row r="125">
          <cell r="D125" t="e">
            <v>#DIV/0!</v>
          </cell>
        </row>
        <row r="135">
          <cell r="D135">
            <v>70.753709010000009</v>
          </cell>
        </row>
        <row r="136">
          <cell r="D136" t="e">
            <v>#DIV/0!</v>
          </cell>
        </row>
        <row r="146">
          <cell r="D146">
            <v>52.152917710000004</v>
          </cell>
        </row>
        <row r="147">
          <cell r="D147" t="e">
            <v>#DIV/0!</v>
          </cell>
        </row>
        <row r="157">
          <cell r="D157">
            <v>47.843680949999992</v>
          </cell>
        </row>
        <row r="158">
          <cell r="D158" t="e">
            <v>#DIV/0!</v>
          </cell>
        </row>
        <row r="168">
          <cell r="D168">
            <v>180.48025052</v>
          </cell>
        </row>
        <row r="169">
          <cell r="D169">
            <v>0.40424846438490936</v>
          </cell>
        </row>
        <row r="179">
          <cell r="D179">
            <v>139.07869349999993</v>
          </cell>
        </row>
        <row r="180">
          <cell r="D180">
            <v>0.31151523844878604</v>
          </cell>
        </row>
      </sheetData>
      <sheetData sheetId="3" refreshError="1"/>
      <sheetData sheetId="4">
        <row r="766">
          <cell r="B766" t="str">
            <v>JANUARY</v>
          </cell>
        </row>
      </sheetData>
      <sheetData sheetId="5" refreshError="1"/>
      <sheetData sheetId="6" refreshError="1"/>
      <sheetData sheetId="7">
        <row r="83">
          <cell r="E83">
            <v>462563.51464000018</v>
          </cell>
        </row>
        <row r="84">
          <cell r="E84">
            <v>462563.51464000018</v>
          </cell>
        </row>
        <row r="85">
          <cell r="E85">
            <v>446458.71640999941</v>
          </cell>
        </row>
        <row r="86">
          <cell r="E86">
            <v>446458.71640999941</v>
          </cell>
        </row>
        <row r="89">
          <cell r="E89">
            <v>446458.71640999941</v>
          </cell>
        </row>
        <row r="90">
          <cell r="E90">
            <v>16104.798230000772</v>
          </cell>
        </row>
        <row r="104">
          <cell r="E104">
            <v>92112.167000000001</v>
          </cell>
        </row>
        <row r="105">
          <cell r="E105">
            <v>0</v>
          </cell>
        </row>
        <row r="106">
          <cell r="E106">
            <v>92112.167000000001</v>
          </cell>
        </row>
      </sheetData>
      <sheetData sheetId="8" refreshError="1"/>
      <sheetData sheetId="9">
        <row r="59">
          <cell r="B59" t="str">
            <v>ACCTTYPE</v>
          </cell>
        </row>
      </sheetData>
      <sheetData sheetId="10">
        <row r="7">
          <cell r="I7" t="str">
            <v>INDICATOR</v>
          </cell>
        </row>
      </sheetData>
      <sheetData sheetId="11">
        <row r="61">
          <cell r="D61">
            <v>47.843680949999992</v>
          </cell>
        </row>
        <row r="64">
          <cell r="D64">
            <v>47.843680949999992</v>
          </cell>
        </row>
        <row r="65">
          <cell r="D65">
            <v>47.843680949999992</v>
          </cell>
        </row>
        <row r="68">
          <cell r="D68">
            <v>0</v>
          </cell>
        </row>
        <row r="71">
          <cell r="D71">
            <v>156.25538784868169</v>
          </cell>
        </row>
        <row r="72">
          <cell r="D72">
            <v>156.25538784868169</v>
          </cell>
        </row>
      </sheetData>
      <sheetData sheetId="12">
        <row r="61">
          <cell r="D61">
            <v>0</v>
          </cell>
        </row>
        <row r="62">
          <cell r="D62">
            <v>4132.5986300000013</v>
          </cell>
        </row>
        <row r="65">
          <cell r="D65">
            <v>4132.5986300000013</v>
          </cell>
        </row>
        <row r="66">
          <cell r="D66">
            <v>4132.5986300000013</v>
          </cell>
        </row>
        <row r="69">
          <cell r="D69">
            <v>0</v>
          </cell>
        </row>
        <row r="72">
          <cell r="D72">
            <v>4132.5986300000013</v>
          </cell>
        </row>
        <row r="73">
          <cell r="D73">
            <v>1</v>
          </cell>
        </row>
      </sheetData>
      <sheetData sheetId="13">
        <row r="2">
          <cell r="H2" t="str">
            <v>MANUAL (TABLE A)</v>
          </cell>
        </row>
      </sheetData>
      <sheetData sheetId="14" refreshError="1"/>
      <sheetData sheetId="15" refreshError="1"/>
      <sheetData sheetId="16" refreshError="1"/>
      <sheetData sheetId="17" refreshError="1"/>
      <sheetData sheetId="18">
        <row r="6">
          <cell r="D6">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unicast.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49"/>
  <sheetViews>
    <sheetView tabSelected="1" zoomScaleNormal="100" workbookViewId="0">
      <pane ySplit="1" topLeftCell="A2" activePane="bottomLeft" state="frozen"/>
      <selection pane="bottomLeft" activeCell="B41" sqref="B41"/>
    </sheetView>
  </sheetViews>
  <sheetFormatPr defaultColWidth="8.6640625" defaultRowHeight="15" x14ac:dyDescent="0.25"/>
  <cols>
    <col min="1" max="1" width="3" style="58" customWidth="1"/>
    <col min="2" max="2" width="147.109375" style="61" customWidth="1"/>
    <col min="3" max="16384" width="8.6640625" style="58"/>
  </cols>
  <sheetData>
    <row r="1" spans="2:2" ht="15.6" x14ac:dyDescent="0.25">
      <c r="B1" s="62" t="s">
        <v>140</v>
      </c>
    </row>
    <row r="2" spans="2:2" ht="15.6" x14ac:dyDescent="0.25">
      <c r="B2" s="57"/>
    </row>
    <row r="3" spans="2:2" ht="105.6" x14ac:dyDescent="0.25">
      <c r="B3" s="72" t="s">
        <v>160</v>
      </c>
    </row>
    <row r="4" spans="2:2" x14ac:dyDescent="0.25">
      <c r="B4" s="72"/>
    </row>
    <row r="5" spans="2:2" ht="46.2" x14ac:dyDescent="0.25">
      <c r="B5" s="73" t="s">
        <v>93</v>
      </c>
    </row>
    <row r="6" spans="2:2" x14ac:dyDescent="0.25">
      <c r="B6" s="73"/>
    </row>
    <row r="7" spans="2:2" x14ac:dyDescent="0.25">
      <c r="B7" s="72" t="s">
        <v>132</v>
      </c>
    </row>
    <row r="8" spans="2:2" ht="15.6" thickBot="1" x14ac:dyDescent="0.3">
      <c r="B8" s="59"/>
    </row>
    <row r="9" spans="2:2" ht="15.6" x14ac:dyDescent="0.25">
      <c r="B9" s="122" t="s">
        <v>142</v>
      </c>
    </row>
    <row r="10" spans="2:2" ht="45.6" thickBot="1" x14ac:dyDescent="0.3">
      <c r="B10" s="121" t="s">
        <v>144</v>
      </c>
    </row>
    <row r="11" spans="2:2" ht="15.6" thickBot="1" x14ac:dyDescent="0.3">
      <c r="B11" s="59"/>
    </row>
    <row r="12" spans="2:2" ht="15.6" x14ac:dyDescent="0.25">
      <c r="B12" s="122" t="s">
        <v>141</v>
      </c>
    </row>
    <row r="13" spans="2:2" ht="60.6" thickBot="1" x14ac:dyDescent="0.3">
      <c r="B13" s="121" t="s">
        <v>152</v>
      </c>
    </row>
    <row r="14" spans="2:2" ht="15.6" thickBot="1" x14ac:dyDescent="0.3">
      <c r="B14" s="59"/>
    </row>
    <row r="15" spans="2:2" ht="15.6" x14ac:dyDescent="0.25">
      <c r="B15" s="122" t="s">
        <v>143</v>
      </c>
    </row>
    <row r="16" spans="2:2" ht="46.2" thickBot="1" x14ac:dyDescent="0.3">
      <c r="B16" s="121" t="s">
        <v>173</v>
      </c>
    </row>
    <row r="17" spans="2:2" ht="15.6" thickBot="1" x14ac:dyDescent="0.3">
      <c r="B17" s="59"/>
    </row>
    <row r="18" spans="2:2" ht="15.6" x14ac:dyDescent="0.25">
      <c r="B18" s="122" t="s">
        <v>147</v>
      </c>
    </row>
    <row r="19" spans="2:2" ht="60.6" thickBot="1" x14ac:dyDescent="0.3">
      <c r="B19" s="121" t="s">
        <v>153</v>
      </c>
    </row>
    <row r="20" spans="2:2" x14ac:dyDescent="0.25">
      <c r="B20" s="59"/>
    </row>
    <row r="21" spans="2:2" ht="15.6" x14ac:dyDescent="0.25">
      <c r="B21" s="60" t="s">
        <v>89</v>
      </c>
    </row>
    <row r="22" spans="2:2" ht="15.6" x14ac:dyDescent="0.25">
      <c r="B22" s="60"/>
    </row>
    <row r="23" spans="2:2" ht="15.6" x14ac:dyDescent="0.25">
      <c r="B23" s="123" t="s">
        <v>148</v>
      </c>
    </row>
    <row r="24" spans="2:2" ht="15.6" x14ac:dyDescent="0.25">
      <c r="B24" s="60"/>
    </row>
    <row r="25" spans="2:2" ht="15.6" x14ac:dyDescent="0.25">
      <c r="B25" s="59" t="s">
        <v>145</v>
      </c>
    </row>
    <row r="26" spans="2:2" x14ac:dyDescent="0.25">
      <c r="B26" s="59"/>
    </row>
    <row r="27" spans="2:2" ht="15.6" x14ac:dyDescent="0.25">
      <c r="B27" s="59" t="s">
        <v>146</v>
      </c>
    </row>
    <row r="28" spans="2:2" x14ac:dyDescent="0.25">
      <c r="B28" s="59"/>
    </row>
    <row r="29" spans="2:2" ht="46.8" x14ac:dyDescent="0.25">
      <c r="B29" s="60" t="s">
        <v>150</v>
      </c>
    </row>
    <row r="30" spans="2:2" ht="15.6" x14ac:dyDescent="0.25">
      <c r="B30" s="60"/>
    </row>
    <row r="31" spans="2:2" ht="15.6" x14ac:dyDescent="0.25">
      <c r="B31" s="60" t="s">
        <v>149</v>
      </c>
    </row>
    <row r="32" spans="2:2" ht="15.6" x14ac:dyDescent="0.25">
      <c r="B32" s="60"/>
    </row>
    <row r="33" spans="2:2" ht="45.6" x14ac:dyDescent="0.25">
      <c r="B33" s="60" t="s">
        <v>156</v>
      </c>
    </row>
    <row r="34" spans="2:2" ht="15.6" x14ac:dyDescent="0.25">
      <c r="B34" s="60"/>
    </row>
    <row r="35" spans="2:2" ht="30.6" x14ac:dyDescent="0.25">
      <c r="B35" s="60" t="s">
        <v>155</v>
      </c>
    </row>
    <row r="36" spans="2:2" ht="15.6" x14ac:dyDescent="0.25">
      <c r="B36" s="60"/>
    </row>
    <row r="37" spans="2:2" ht="45.6" x14ac:dyDescent="0.25">
      <c r="B37" s="60" t="s">
        <v>157</v>
      </c>
    </row>
    <row r="38" spans="2:2" ht="15.6" x14ac:dyDescent="0.25">
      <c r="B38" s="60"/>
    </row>
    <row r="39" spans="2:2" ht="45.6" x14ac:dyDescent="0.25">
      <c r="B39" s="60" t="s">
        <v>171</v>
      </c>
    </row>
    <row r="40" spans="2:2" ht="15.6" x14ac:dyDescent="0.25">
      <c r="B40" s="60"/>
    </row>
    <row r="41" spans="2:2" ht="31.2" x14ac:dyDescent="0.25">
      <c r="B41" s="60" t="s">
        <v>172</v>
      </c>
    </row>
    <row r="42" spans="2:2" ht="15.6" x14ac:dyDescent="0.25">
      <c r="B42" s="60"/>
    </row>
    <row r="43" spans="2:2" ht="15.6" x14ac:dyDescent="0.25">
      <c r="B43" s="60" t="s">
        <v>90</v>
      </c>
    </row>
    <row r="44" spans="2:2" ht="30.6" x14ac:dyDescent="0.25">
      <c r="B44" s="59" t="s">
        <v>151</v>
      </c>
    </row>
    <row r="45" spans="2:2" x14ac:dyDescent="0.25">
      <c r="B45" s="59"/>
    </row>
    <row r="46" spans="2:2" ht="15.6" x14ac:dyDescent="0.25">
      <c r="B46" s="57" t="s">
        <v>91</v>
      </c>
    </row>
    <row r="47" spans="2:2" ht="30" x14ac:dyDescent="0.25">
      <c r="B47" s="59" t="s">
        <v>94</v>
      </c>
    </row>
    <row r="49" spans="2:2" x14ac:dyDescent="0.25">
      <c r="B49" s="63"/>
    </row>
  </sheetData>
  <sheetProtection algorithmName="SHA-512" hashValue="/pipek72l+NomqxlvXMPZGKOo+nXteNOBMJEd21JRef91HML93eaeAbVPKHc2PLQH7KZaOK0bsM8I7K3GhyfEg==" saltValue="eLdJffi4ePJB+aOiKXfhcg==" spinCount="100000" sheet="1" objects="1" scenarios="1"/>
  <hyperlinks>
    <hyperlink ref="B5" r:id="rId1" display="http://www.municast.com/" xr:uid="{00000000-0004-0000-0000-000000000000}"/>
  </hyperlinks>
  <pageMargins left="0.7" right="0.7" top="0.75" bottom="0.75" header="0.3" footer="0.3"/>
  <pageSetup scale="56" orientation="portrait" r:id="rId2"/>
  <headerFooter>
    <oddHeader>&amp;F</oddHeader>
    <oddFooter>&amp;C&amp;A&amp;R&amp;N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256"/>
  <sheetViews>
    <sheetView workbookViewId="0">
      <pane ySplit="4" topLeftCell="A5" activePane="bottomLeft" state="frozen"/>
      <selection pane="bottomLeft" activeCell="C1" sqref="C1"/>
    </sheetView>
  </sheetViews>
  <sheetFormatPr defaultColWidth="8.6640625" defaultRowHeight="14.4" x14ac:dyDescent="0.3"/>
  <cols>
    <col min="1" max="1" width="34.6640625" customWidth="1"/>
    <col min="2" max="2" width="13.109375" customWidth="1"/>
    <col min="3" max="7" width="12.6640625" customWidth="1"/>
    <col min="8" max="8" width="14.33203125" customWidth="1"/>
    <col min="9" max="14" width="12.6640625" customWidth="1"/>
    <col min="15" max="15" width="7.88671875" customWidth="1"/>
    <col min="16" max="16" width="13.6640625" bestFit="1" customWidth="1"/>
    <col min="17" max="17" width="10" customWidth="1"/>
  </cols>
  <sheetData>
    <row r="1" spans="1:27" ht="16.2" thickBot="1" x14ac:dyDescent="0.35">
      <c r="A1" s="31" t="s">
        <v>5</v>
      </c>
      <c r="B1" s="70" t="s">
        <v>92</v>
      </c>
      <c r="D1" s="32" t="s">
        <v>11</v>
      </c>
      <c r="E1" s="32"/>
      <c r="F1" s="32"/>
      <c r="G1" s="32"/>
    </row>
    <row r="2" spans="1:27" ht="15" thickBot="1" x14ac:dyDescent="0.35">
      <c r="A2" s="6" t="s">
        <v>137</v>
      </c>
      <c r="B2" s="120" t="s">
        <v>217</v>
      </c>
    </row>
    <row r="3" spans="1:27" ht="15" thickBot="1" x14ac:dyDescent="0.35">
      <c r="A3" s="6" t="s">
        <v>138</v>
      </c>
      <c r="B3" s="132" t="s">
        <v>139</v>
      </c>
      <c r="C3" s="133"/>
    </row>
    <row r="4" spans="1:27" x14ac:dyDescent="0.3">
      <c r="A4" s="7" t="s">
        <v>162</v>
      </c>
      <c r="B4" s="7"/>
    </row>
    <row r="6" spans="1:27" x14ac:dyDescent="0.3">
      <c r="A6" s="32" t="s">
        <v>167</v>
      </c>
      <c r="B6" s="32"/>
      <c r="C6" s="37"/>
      <c r="D6" s="37"/>
    </row>
    <row r="7" spans="1:27" x14ac:dyDescent="0.3">
      <c r="A7" s="33"/>
      <c r="B7" s="34" t="str">
        <f>CONCATENATE("TOTAL-",(RIGHT(B$89,4)-1))</f>
        <v>TOTAL-2024</v>
      </c>
      <c r="C7" s="34" t="str">
        <f>CONCATENATE(LEFT(C$89,4),(RIGHT(C$89,4)-1))</f>
        <v>JUL-2023</v>
      </c>
      <c r="D7" s="34" t="str">
        <f t="shared" ref="D7:N7" si="0">CONCATENATE(LEFT(D$89,4),(RIGHT(D$89,4)-1))</f>
        <v>AUG-2023</v>
      </c>
      <c r="E7" s="34" t="str">
        <f t="shared" si="0"/>
        <v>SEP-2023</v>
      </c>
      <c r="F7" s="34" t="str">
        <f t="shared" si="0"/>
        <v>OCT-2023</v>
      </c>
      <c r="G7" s="34" t="str">
        <f t="shared" si="0"/>
        <v>NOV-2023</v>
      </c>
      <c r="H7" s="34" t="str">
        <f t="shared" si="0"/>
        <v>DEC-2023</v>
      </c>
      <c r="I7" s="34" t="str">
        <f t="shared" si="0"/>
        <v>JAN-2024</v>
      </c>
      <c r="J7" s="34" t="str">
        <f t="shared" si="0"/>
        <v>FEB-2024</v>
      </c>
      <c r="K7" s="34" t="str">
        <f t="shared" si="0"/>
        <v>MAR-2024</v>
      </c>
      <c r="L7" s="34" t="str">
        <f t="shared" si="0"/>
        <v>APR-2024</v>
      </c>
      <c r="M7" s="34" t="str">
        <f t="shared" si="0"/>
        <v>MAY-2024</v>
      </c>
      <c r="N7" s="34" t="str">
        <f t="shared" si="0"/>
        <v>JUN-2024</v>
      </c>
    </row>
    <row r="8" spans="1:27" x14ac:dyDescent="0.3">
      <c r="A8" s="7" t="s">
        <v>6</v>
      </c>
      <c r="B8" s="7"/>
    </row>
    <row r="9" spans="1:27" x14ac:dyDescent="0.3">
      <c r="A9" s="68" t="s">
        <v>19</v>
      </c>
      <c r="B9" s="95">
        <f>SUM(C9:N9)</f>
        <v>547422147</v>
      </c>
      <c r="C9" s="96">
        <f>782559+1478288</f>
        <v>2260847</v>
      </c>
      <c r="D9" s="96">
        <f>392573+1189810</f>
        <v>1582383</v>
      </c>
      <c r="E9" s="96">
        <f>7627677+2850348</f>
        <v>10478025</v>
      </c>
      <c r="F9" s="96">
        <f>27360223+90116534</f>
        <v>117476757</v>
      </c>
      <c r="G9" s="96">
        <f>135419822+17490338</f>
        <v>152910160</v>
      </c>
      <c r="H9" s="96">
        <f>3471993+2216783</f>
        <v>5688776</v>
      </c>
      <c r="I9" s="96">
        <f>1550934+2417923</f>
        <v>3968857</v>
      </c>
      <c r="J9" s="96">
        <f>2960294+2681854</f>
        <v>5642148</v>
      </c>
      <c r="K9" s="96">
        <f>18803083+27679452</f>
        <v>46482535</v>
      </c>
      <c r="L9" s="96">
        <f>113608431+77819374</f>
        <v>191427805</v>
      </c>
      <c r="M9" s="96">
        <f>2936172+1817757</f>
        <v>4753929</v>
      </c>
      <c r="N9" s="96">
        <f>2707167+2042758</f>
        <v>4749925</v>
      </c>
      <c r="P9" s="30"/>
      <c r="Q9" s="30"/>
      <c r="R9" s="30"/>
      <c r="S9" s="30"/>
      <c r="T9" s="30"/>
      <c r="U9" s="30"/>
      <c r="V9" s="30"/>
      <c r="W9" s="30"/>
      <c r="X9" s="30"/>
      <c r="Y9" s="30"/>
      <c r="Z9" s="30"/>
      <c r="AA9" s="30"/>
    </row>
    <row r="10" spans="1:27" x14ac:dyDescent="0.3">
      <c r="A10" s="68" t="s">
        <v>109</v>
      </c>
      <c r="B10" s="95">
        <f t="shared" ref="B10:B25" si="1">SUM(C10:N10)</f>
        <v>0</v>
      </c>
      <c r="C10" s="96">
        <v>0</v>
      </c>
      <c r="D10" s="96"/>
      <c r="E10" s="96"/>
      <c r="F10" s="96"/>
      <c r="G10" s="96"/>
      <c r="H10" s="96"/>
      <c r="I10" s="96"/>
      <c r="J10" s="96"/>
      <c r="K10" s="96"/>
      <c r="L10" s="96"/>
      <c r="M10" s="96"/>
      <c r="N10" s="96"/>
      <c r="P10" s="30"/>
      <c r="Q10" s="30"/>
      <c r="R10" s="30"/>
      <c r="S10" s="30"/>
      <c r="T10" s="30"/>
      <c r="U10" s="30"/>
      <c r="V10" s="30"/>
      <c r="W10" s="30"/>
      <c r="X10" s="30"/>
      <c r="Y10" s="30"/>
      <c r="Z10" s="30"/>
      <c r="AA10" s="30"/>
    </row>
    <row r="11" spans="1:27" x14ac:dyDescent="0.3">
      <c r="A11" s="68" t="s">
        <v>110</v>
      </c>
      <c r="B11" s="95">
        <f t="shared" si="1"/>
        <v>0</v>
      </c>
      <c r="C11" s="96">
        <v>0</v>
      </c>
      <c r="D11" s="96"/>
      <c r="E11" s="96"/>
      <c r="F11" s="96"/>
      <c r="G11" s="96"/>
      <c r="H11" s="96"/>
      <c r="I11" s="96"/>
      <c r="J11" s="96"/>
      <c r="K11" s="96"/>
      <c r="L11" s="96"/>
      <c r="M11" s="96"/>
      <c r="N11" s="96"/>
      <c r="P11" s="30"/>
      <c r="Q11" s="30"/>
      <c r="R11" s="30"/>
      <c r="S11" s="30"/>
      <c r="T11" s="30"/>
      <c r="U11" s="30"/>
      <c r="V11" s="30"/>
      <c r="W11" s="30"/>
      <c r="X11" s="30"/>
      <c r="Y11" s="30"/>
      <c r="Z11" s="30"/>
      <c r="AA11" s="30"/>
    </row>
    <row r="12" spans="1:27" x14ac:dyDescent="0.3">
      <c r="A12" s="68" t="s">
        <v>123</v>
      </c>
      <c r="B12" s="95">
        <f t="shared" si="1"/>
        <v>99653142</v>
      </c>
      <c r="C12" s="96">
        <v>0</v>
      </c>
      <c r="D12" s="96"/>
      <c r="E12" s="96"/>
      <c r="F12" s="96"/>
      <c r="G12" s="96"/>
      <c r="H12" s="96">
        <v>49826571</v>
      </c>
      <c r="I12" s="96"/>
      <c r="J12" s="96"/>
      <c r="K12" s="96"/>
      <c r="L12" s="96"/>
      <c r="M12" s="96">
        <v>49826571</v>
      </c>
      <c r="N12" s="96"/>
      <c r="P12" s="30"/>
      <c r="Q12" s="30"/>
      <c r="R12" s="30"/>
      <c r="S12" s="30"/>
      <c r="T12" s="30"/>
      <c r="U12" s="30"/>
      <c r="V12" s="30"/>
      <c r="W12" s="30"/>
      <c r="X12" s="30"/>
      <c r="Y12" s="30"/>
      <c r="Z12" s="30"/>
      <c r="AA12" s="30"/>
    </row>
    <row r="13" spans="1:27" x14ac:dyDescent="0.3">
      <c r="A13" s="68" t="s">
        <v>111</v>
      </c>
      <c r="B13" s="95">
        <f t="shared" si="1"/>
        <v>0</v>
      </c>
      <c r="C13" s="96">
        <v>0</v>
      </c>
      <c r="D13" s="96"/>
      <c r="E13" s="96"/>
      <c r="F13" s="96"/>
      <c r="G13" s="96"/>
      <c r="H13" s="96"/>
      <c r="I13" s="96"/>
      <c r="J13" s="96"/>
      <c r="K13" s="96"/>
      <c r="L13" s="96"/>
      <c r="M13" s="96"/>
      <c r="N13" s="96"/>
      <c r="P13" s="30"/>
      <c r="Q13" s="30"/>
      <c r="R13" s="30"/>
      <c r="S13" s="30"/>
      <c r="T13" s="30"/>
      <c r="U13" s="30"/>
      <c r="V13" s="30"/>
      <c r="W13" s="30"/>
      <c r="X13" s="30"/>
      <c r="Y13" s="30"/>
      <c r="Z13" s="30"/>
      <c r="AA13" s="30"/>
    </row>
    <row r="14" spans="1:27" x14ac:dyDescent="0.3">
      <c r="A14" s="68" t="s">
        <v>114</v>
      </c>
      <c r="B14" s="95">
        <f t="shared" si="1"/>
        <v>0</v>
      </c>
      <c r="C14" s="96">
        <v>0</v>
      </c>
      <c r="D14" s="96"/>
      <c r="E14" s="96"/>
      <c r="F14" s="96"/>
      <c r="G14" s="96"/>
      <c r="H14" s="96"/>
      <c r="I14" s="96"/>
      <c r="J14" s="96"/>
      <c r="K14" s="96"/>
      <c r="L14" s="96"/>
      <c r="M14" s="96"/>
      <c r="N14" s="96"/>
      <c r="P14" s="30"/>
      <c r="Q14" s="30"/>
      <c r="R14" s="30"/>
      <c r="S14" s="30"/>
      <c r="T14" s="30"/>
      <c r="U14" s="30"/>
      <c r="V14" s="30"/>
      <c r="W14" s="30"/>
      <c r="X14" s="30"/>
      <c r="Y14" s="30"/>
      <c r="Z14" s="30"/>
      <c r="AA14" s="30"/>
    </row>
    <row r="15" spans="1:27" x14ac:dyDescent="0.3">
      <c r="A15" s="68" t="s">
        <v>115</v>
      </c>
      <c r="B15" s="95">
        <f t="shared" si="1"/>
        <v>239927511</v>
      </c>
      <c r="C15" s="96">
        <v>11213514</v>
      </c>
      <c r="D15" s="96">
        <v>29971265</v>
      </c>
      <c r="E15" s="96">
        <v>15312989</v>
      </c>
      <c r="F15" s="96">
        <v>12599735</v>
      </c>
      <c r="G15" s="96">
        <v>21256262</v>
      </c>
      <c r="H15" s="96">
        <v>27711694</v>
      </c>
      <c r="I15" s="96">
        <v>27795974</v>
      </c>
      <c r="J15" s="96">
        <v>23062163</v>
      </c>
      <c r="K15" s="96">
        <v>15477242</v>
      </c>
      <c r="L15" s="96">
        <v>14929560</v>
      </c>
      <c r="M15" s="96">
        <v>18459027</v>
      </c>
      <c r="N15" s="96">
        <v>22138086</v>
      </c>
      <c r="P15" s="30"/>
      <c r="Q15" s="30"/>
      <c r="R15" s="30"/>
      <c r="S15" s="30"/>
      <c r="T15" s="30"/>
      <c r="U15" s="30"/>
      <c r="V15" s="30"/>
      <c r="W15" s="30"/>
      <c r="X15" s="30"/>
      <c r="Y15" s="30"/>
      <c r="Z15" s="30"/>
      <c r="AA15" s="30"/>
    </row>
    <row r="16" spans="1:27" x14ac:dyDescent="0.3">
      <c r="A16" s="68" t="s">
        <v>112</v>
      </c>
      <c r="B16" s="95">
        <f t="shared" si="1"/>
        <v>0</v>
      </c>
      <c r="C16" s="96">
        <v>0</v>
      </c>
      <c r="D16" s="96"/>
      <c r="E16" s="96"/>
      <c r="F16" s="96"/>
      <c r="G16" s="96"/>
      <c r="H16" s="96"/>
      <c r="I16" s="96"/>
      <c r="J16" s="96"/>
      <c r="K16" s="96"/>
      <c r="L16" s="96"/>
      <c r="M16" s="96"/>
      <c r="N16" s="96"/>
      <c r="P16" s="30"/>
      <c r="Q16" s="30"/>
      <c r="R16" s="30"/>
      <c r="S16" s="30"/>
      <c r="T16" s="30"/>
      <c r="U16" s="30"/>
      <c r="V16" s="30"/>
      <c r="W16" s="30"/>
      <c r="X16" s="30"/>
      <c r="Y16" s="30"/>
      <c r="Z16" s="30"/>
      <c r="AA16" s="30"/>
    </row>
    <row r="17" spans="1:27" x14ac:dyDescent="0.3">
      <c r="A17" s="68" t="s">
        <v>174</v>
      </c>
      <c r="B17" s="95">
        <f t="shared" si="1"/>
        <v>7036993</v>
      </c>
      <c r="C17" s="96">
        <v>659975</v>
      </c>
      <c r="D17" s="96">
        <v>809671</v>
      </c>
      <c r="E17" s="96">
        <v>359175</v>
      </c>
      <c r="F17" s="96">
        <v>245455</v>
      </c>
      <c r="G17" s="96">
        <v>345587</v>
      </c>
      <c r="H17" s="96">
        <v>513543</v>
      </c>
      <c r="I17" s="96">
        <v>737040</v>
      </c>
      <c r="J17" s="96">
        <v>1008912</v>
      </c>
      <c r="K17" s="96">
        <v>402038</v>
      </c>
      <c r="L17" s="96">
        <v>400930</v>
      </c>
      <c r="M17" s="96">
        <v>844019</v>
      </c>
      <c r="N17" s="96">
        <v>710648</v>
      </c>
      <c r="P17" s="30"/>
      <c r="Q17" s="30"/>
      <c r="R17" s="30"/>
      <c r="S17" s="30"/>
      <c r="T17" s="30"/>
      <c r="U17" s="30"/>
      <c r="V17" s="30"/>
      <c r="W17" s="30"/>
      <c r="X17" s="30"/>
      <c r="Y17" s="30"/>
      <c r="Z17" s="30"/>
      <c r="AA17" s="30"/>
    </row>
    <row r="18" spans="1:27" x14ac:dyDescent="0.3">
      <c r="A18" s="68" t="s">
        <v>116</v>
      </c>
      <c r="B18" s="95">
        <f t="shared" si="1"/>
        <v>0</v>
      </c>
      <c r="C18" s="96">
        <v>0</v>
      </c>
      <c r="D18" s="96"/>
      <c r="E18" s="96"/>
      <c r="F18" s="96"/>
      <c r="G18" s="96"/>
      <c r="H18" s="96"/>
      <c r="I18" s="96"/>
      <c r="J18" s="96"/>
      <c r="K18" s="96"/>
      <c r="L18" s="96"/>
      <c r="M18" s="96"/>
      <c r="N18" s="96"/>
      <c r="P18" s="30"/>
      <c r="Q18" s="30"/>
      <c r="R18" s="30"/>
      <c r="S18" s="30"/>
      <c r="T18" s="30"/>
      <c r="U18" s="30"/>
      <c r="V18" s="30"/>
      <c r="W18" s="30"/>
      <c r="X18" s="30"/>
      <c r="Y18" s="30"/>
      <c r="Z18" s="30"/>
      <c r="AA18" s="30"/>
    </row>
    <row r="19" spans="1:27" x14ac:dyDescent="0.3">
      <c r="A19" s="68" t="s">
        <v>113</v>
      </c>
      <c r="B19" s="95">
        <f t="shared" si="1"/>
        <v>0</v>
      </c>
      <c r="C19" s="96">
        <v>0</v>
      </c>
      <c r="D19" s="96"/>
      <c r="E19" s="96"/>
      <c r="F19" s="96"/>
      <c r="G19" s="96"/>
      <c r="H19" s="96"/>
      <c r="I19" s="96"/>
      <c r="J19" s="96"/>
      <c r="K19" s="96"/>
      <c r="L19" s="96"/>
      <c r="M19" s="96"/>
      <c r="N19" s="96"/>
      <c r="P19" s="30"/>
      <c r="Q19" s="30"/>
      <c r="R19" s="30"/>
      <c r="S19" s="30"/>
      <c r="T19" s="30"/>
      <c r="U19" s="30"/>
      <c r="V19" s="30"/>
      <c r="W19" s="30"/>
      <c r="X19" s="30"/>
      <c r="Y19" s="30"/>
      <c r="Z19" s="30"/>
      <c r="AA19" s="30"/>
    </row>
    <row r="20" spans="1:27" x14ac:dyDescent="0.3">
      <c r="A20" s="68" t="s">
        <v>175</v>
      </c>
      <c r="B20" s="95">
        <f t="shared" si="1"/>
        <v>71767798.629999995</v>
      </c>
      <c r="C20" s="96">
        <f>21673331-C17</f>
        <v>21013356</v>
      </c>
      <c r="D20" s="96">
        <f>15253452-D17</f>
        <v>14443781</v>
      </c>
      <c r="E20" s="96">
        <v>0</v>
      </c>
      <c r="F20" s="96">
        <f>3012667.5-F17</f>
        <v>2767212.5</v>
      </c>
      <c r="G20" s="96">
        <v>0</v>
      </c>
      <c r="H20" s="96">
        <v>0</v>
      </c>
      <c r="I20" s="96">
        <f>1834703.65-I17</f>
        <v>1097663.6499999999</v>
      </c>
      <c r="J20" s="96">
        <f>4621439.75-J17</f>
        <v>3612527.75</v>
      </c>
      <c r="K20" s="96">
        <f>5341350.69-K17</f>
        <v>4939312.6900000004</v>
      </c>
      <c r="L20" s="96">
        <f>3135367.5-L17</f>
        <v>2734437.5</v>
      </c>
      <c r="M20" s="96">
        <f>15818120.1-M17</f>
        <v>14974101.1</v>
      </c>
      <c r="N20" s="96">
        <f>6896054.44-N17</f>
        <v>6185406.4400000004</v>
      </c>
      <c r="P20" s="30"/>
      <c r="Q20" s="30"/>
      <c r="R20" s="30"/>
      <c r="S20" s="30"/>
      <c r="T20" s="30"/>
      <c r="U20" s="30"/>
      <c r="V20" s="30"/>
      <c r="W20" s="30"/>
      <c r="X20" s="30"/>
      <c r="Y20" s="30"/>
      <c r="Z20" s="30"/>
      <c r="AA20" s="30"/>
    </row>
    <row r="21" spans="1:27" x14ac:dyDescent="0.3">
      <c r="A21" s="68" t="s">
        <v>117</v>
      </c>
      <c r="B21" s="95">
        <f t="shared" si="1"/>
        <v>12601073</v>
      </c>
      <c r="C21" s="96">
        <f>956000+74800</f>
        <v>1030800</v>
      </c>
      <c r="D21" s="96">
        <f>1055000+59514</f>
        <v>1114514</v>
      </c>
      <c r="E21" s="96">
        <v>891995</v>
      </c>
      <c r="F21" s="96">
        <v>805100</v>
      </c>
      <c r="G21" s="96">
        <v>1004304</v>
      </c>
      <c r="H21" s="96">
        <v>1018534</v>
      </c>
      <c r="I21" s="96">
        <v>1079437</v>
      </c>
      <c r="J21" s="96">
        <v>1107756</v>
      </c>
      <c r="K21" s="96">
        <v>1224723</v>
      </c>
      <c r="L21" s="96">
        <v>1131095</v>
      </c>
      <c r="M21" s="96">
        <v>1107699</v>
      </c>
      <c r="N21" s="96">
        <v>1085116</v>
      </c>
      <c r="P21" s="30"/>
      <c r="Q21" s="30"/>
      <c r="R21" s="30"/>
      <c r="S21" s="30"/>
      <c r="T21" s="30"/>
      <c r="U21" s="30"/>
      <c r="V21" s="30"/>
      <c r="W21" s="30"/>
      <c r="X21" s="30"/>
      <c r="Y21" s="30"/>
      <c r="Z21" s="30"/>
      <c r="AA21" s="30"/>
    </row>
    <row r="22" spans="1:27" x14ac:dyDescent="0.3">
      <c r="A22" s="68" t="s">
        <v>118</v>
      </c>
      <c r="B22" s="95">
        <f t="shared" si="1"/>
        <v>4479670</v>
      </c>
      <c r="C22" s="96">
        <v>218517</v>
      </c>
      <c r="D22" s="96">
        <v>118091</v>
      </c>
      <c r="E22" s="96">
        <v>105958</v>
      </c>
      <c r="F22" s="96">
        <v>142873</v>
      </c>
      <c r="G22" s="96">
        <v>305978</v>
      </c>
      <c r="H22" s="96">
        <v>767017</v>
      </c>
      <c r="I22" s="96">
        <v>1390685</v>
      </c>
      <c r="J22" s="96">
        <v>957643</v>
      </c>
      <c r="K22" s="96">
        <v>270555</v>
      </c>
      <c r="L22" s="96">
        <v>106112</v>
      </c>
      <c r="M22" s="96">
        <v>17769</v>
      </c>
      <c r="N22" s="96">
        <v>78472</v>
      </c>
      <c r="P22" s="30"/>
      <c r="Q22" s="30"/>
      <c r="R22" s="30"/>
      <c r="S22" s="30"/>
      <c r="T22" s="30"/>
      <c r="U22" s="30"/>
      <c r="V22" s="30"/>
      <c r="W22" s="30"/>
      <c r="X22" s="30"/>
      <c r="Y22" s="30"/>
      <c r="Z22" s="30"/>
      <c r="AA22" s="30"/>
    </row>
    <row r="23" spans="1:27" x14ac:dyDescent="0.3">
      <c r="A23" s="68" t="s">
        <v>119</v>
      </c>
      <c r="B23" s="95">
        <f t="shared" ref="B23:B24" si="2">SUM(C23:N23)</f>
        <v>667388</v>
      </c>
      <c r="C23" s="96">
        <v>47473</v>
      </c>
      <c r="D23" s="96">
        <v>25479</v>
      </c>
      <c r="E23" s="96">
        <v>84816</v>
      </c>
      <c r="F23" s="96">
        <v>71574</v>
      </c>
      <c r="G23" s="96">
        <v>26870</v>
      </c>
      <c r="H23" s="96">
        <v>25494</v>
      </c>
      <c r="I23" s="96">
        <v>32629</v>
      </c>
      <c r="J23" s="96">
        <v>83755</v>
      </c>
      <c r="K23" s="96">
        <v>137590</v>
      </c>
      <c r="L23" s="96">
        <v>66452</v>
      </c>
      <c r="M23" s="96">
        <v>28100</v>
      </c>
      <c r="N23" s="96">
        <v>37156</v>
      </c>
      <c r="P23" s="30"/>
      <c r="Q23" s="30"/>
      <c r="R23" s="30"/>
      <c r="S23" s="30"/>
      <c r="T23" s="30"/>
      <c r="U23" s="30"/>
      <c r="V23" s="30"/>
      <c r="W23" s="30"/>
      <c r="X23" s="30"/>
      <c r="Y23" s="30"/>
      <c r="Z23" s="30"/>
      <c r="AA23" s="30"/>
    </row>
    <row r="24" spans="1:27" x14ac:dyDescent="0.3">
      <c r="A24" s="68" t="s">
        <v>128</v>
      </c>
      <c r="B24" s="95">
        <f t="shared" si="2"/>
        <v>8787056.6600000001</v>
      </c>
      <c r="C24" s="96"/>
      <c r="D24" s="96"/>
      <c r="E24" s="96"/>
      <c r="F24" s="96"/>
      <c r="G24" s="96"/>
      <c r="H24" s="96"/>
      <c r="I24" s="96"/>
      <c r="J24" s="96"/>
      <c r="K24" s="96"/>
      <c r="L24" s="96"/>
      <c r="M24" s="96"/>
      <c r="N24" s="96">
        <v>8787056.6600000001</v>
      </c>
      <c r="P24" s="30"/>
      <c r="Q24" s="30"/>
      <c r="R24" s="30"/>
      <c r="S24" s="30"/>
      <c r="T24" s="30"/>
      <c r="U24" s="30"/>
      <c r="V24" s="30"/>
      <c r="W24" s="30"/>
      <c r="X24" s="30"/>
      <c r="Y24" s="30"/>
      <c r="Z24" s="30"/>
      <c r="AA24" s="30"/>
    </row>
    <row r="25" spans="1:27" x14ac:dyDescent="0.3">
      <c r="A25" s="68" t="s">
        <v>129</v>
      </c>
      <c r="B25" s="95">
        <f t="shared" si="1"/>
        <v>0</v>
      </c>
      <c r="C25" s="96"/>
      <c r="D25" s="96"/>
      <c r="E25" s="96"/>
      <c r="F25" s="96"/>
      <c r="G25" s="96"/>
      <c r="H25" s="96"/>
      <c r="I25" s="96"/>
      <c r="J25" s="96"/>
      <c r="K25" s="96"/>
      <c r="L25" s="96"/>
      <c r="M25" s="96"/>
      <c r="N25" s="96"/>
      <c r="P25" s="30"/>
      <c r="Q25" s="30"/>
      <c r="R25" s="30"/>
      <c r="S25" s="30"/>
      <c r="T25" s="30"/>
      <c r="U25" s="30"/>
      <c r="V25" s="30"/>
      <c r="W25" s="30"/>
      <c r="X25" s="30"/>
      <c r="Y25" s="30"/>
      <c r="Z25" s="30"/>
      <c r="AA25" s="30"/>
    </row>
    <row r="26" spans="1:27" x14ac:dyDescent="0.3">
      <c r="A26" s="35" t="s">
        <v>8</v>
      </c>
      <c r="B26" s="97">
        <f t="shared" ref="B26:N26" si="3">SUM(B9:B25)</f>
        <v>992342779.28999996</v>
      </c>
      <c r="C26" s="97">
        <f t="shared" si="3"/>
        <v>36444482</v>
      </c>
      <c r="D26" s="97">
        <f t="shared" si="3"/>
        <v>48065184</v>
      </c>
      <c r="E26" s="97">
        <f t="shared" si="3"/>
        <v>27232958</v>
      </c>
      <c r="F26" s="97">
        <f t="shared" si="3"/>
        <v>134108706.5</v>
      </c>
      <c r="G26" s="97">
        <f t="shared" si="3"/>
        <v>175849161</v>
      </c>
      <c r="H26" s="97">
        <f t="shared" si="3"/>
        <v>85551629</v>
      </c>
      <c r="I26" s="97">
        <f t="shared" si="3"/>
        <v>36102285.649999999</v>
      </c>
      <c r="J26" s="97">
        <f t="shared" si="3"/>
        <v>35474904.75</v>
      </c>
      <c r="K26" s="97">
        <f t="shared" si="3"/>
        <v>68933995.689999998</v>
      </c>
      <c r="L26" s="97">
        <f t="shared" si="3"/>
        <v>210796391.5</v>
      </c>
      <c r="M26" s="97">
        <f t="shared" si="3"/>
        <v>90011215.099999994</v>
      </c>
      <c r="N26" s="97">
        <f t="shared" si="3"/>
        <v>43771866.099999994</v>
      </c>
    </row>
    <row r="27" spans="1:27" x14ac:dyDescent="0.3">
      <c r="A27" s="7" t="s">
        <v>7</v>
      </c>
      <c r="B27" s="98"/>
      <c r="C27" s="99"/>
      <c r="D27" s="99"/>
      <c r="E27" s="99"/>
      <c r="F27" s="99"/>
      <c r="G27" s="99"/>
      <c r="H27" s="99"/>
      <c r="I27" s="99"/>
      <c r="J27" s="99"/>
      <c r="K27" s="99"/>
      <c r="L27" s="99"/>
      <c r="M27" s="99"/>
      <c r="N27" s="99"/>
    </row>
    <row r="28" spans="1:27" x14ac:dyDescent="0.3">
      <c r="A28" s="68" t="s">
        <v>95</v>
      </c>
      <c r="B28" s="95">
        <f t="shared" ref="B28:B31" si="4">SUM(C28:N28)</f>
        <v>117236289</v>
      </c>
      <c r="C28" s="96">
        <v>8831472</v>
      </c>
      <c r="D28" s="96">
        <v>8876802</v>
      </c>
      <c r="E28" s="96">
        <v>9022020</v>
      </c>
      <c r="F28" s="96">
        <v>8806756</v>
      </c>
      <c r="G28" s="96">
        <v>13579815</v>
      </c>
      <c r="H28" s="96">
        <v>9171215</v>
      </c>
      <c r="I28" s="96">
        <f>9165626</f>
        <v>9165626</v>
      </c>
      <c r="J28" s="96">
        <v>9168544</v>
      </c>
      <c r="K28" s="96">
        <v>8984505</v>
      </c>
      <c r="L28" s="96">
        <v>8862399</v>
      </c>
      <c r="M28" s="96">
        <v>13934817</v>
      </c>
      <c r="N28" s="96">
        <v>8832318</v>
      </c>
      <c r="P28" s="30"/>
      <c r="Q28" s="30"/>
      <c r="R28" s="30"/>
      <c r="S28" s="30"/>
      <c r="T28" s="30"/>
      <c r="U28" s="30"/>
      <c r="V28" s="30"/>
      <c r="W28" s="30"/>
      <c r="X28" s="30"/>
      <c r="Y28" s="30"/>
      <c r="Z28" s="30"/>
      <c r="AA28" s="30"/>
    </row>
    <row r="29" spans="1:27" x14ac:dyDescent="0.3">
      <c r="A29" s="68" t="s">
        <v>96</v>
      </c>
      <c r="B29" s="95">
        <f t="shared" si="4"/>
        <v>23936769</v>
      </c>
      <c r="C29" s="96">
        <v>1789341</v>
      </c>
      <c r="D29" s="96">
        <v>1830912</v>
      </c>
      <c r="E29" s="96">
        <v>1857119</v>
      </c>
      <c r="F29" s="96">
        <v>1819461</v>
      </c>
      <c r="G29" s="96">
        <v>2730092</v>
      </c>
      <c r="H29" s="96">
        <v>1826730</v>
      </c>
      <c r="I29" s="96">
        <v>1851883</v>
      </c>
      <c r="J29" s="96">
        <v>1869634</v>
      </c>
      <c r="K29" s="96">
        <v>1832930</v>
      </c>
      <c r="L29" s="96">
        <v>1856661</v>
      </c>
      <c r="M29" s="96">
        <v>2731713</v>
      </c>
      <c r="N29" s="96">
        <v>1940293</v>
      </c>
      <c r="P29" s="30"/>
      <c r="Q29" s="30"/>
      <c r="R29" s="30"/>
      <c r="S29" s="30"/>
      <c r="T29" s="30"/>
      <c r="U29" s="30"/>
      <c r="V29" s="30"/>
      <c r="W29" s="30"/>
      <c r="X29" s="30"/>
      <c r="Y29" s="30"/>
      <c r="Z29" s="30"/>
      <c r="AA29" s="30"/>
    </row>
    <row r="30" spans="1:27" x14ac:dyDescent="0.3">
      <c r="A30" s="68" t="s">
        <v>98</v>
      </c>
      <c r="B30" s="95">
        <f t="shared" si="4"/>
        <v>238247691</v>
      </c>
      <c r="C30" s="96">
        <v>21701752</v>
      </c>
      <c r="D30" s="96">
        <v>14416862</v>
      </c>
      <c r="E30" s="96">
        <v>17759051</v>
      </c>
      <c r="F30" s="96">
        <v>19383103</v>
      </c>
      <c r="G30" s="96">
        <v>17385870</v>
      </c>
      <c r="H30" s="96">
        <v>17318399</v>
      </c>
      <c r="I30" s="96">
        <v>27084916</v>
      </c>
      <c r="J30" s="96">
        <v>23940412</v>
      </c>
      <c r="K30" s="96">
        <v>25429817</v>
      </c>
      <c r="L30" s="96">
        <v>23057585</v>
      </c>
      <c r="M30" s="96">
        <v>16703168</v>
      </c>
      <c r="N30" s="96">
        <v>14066756</v>
      </c>
      <c r="P30" s="30"/>
      <c r="Q30" s="30"/>
      <c r="R30" s="30"/>
      <c r="S30" s="30"/>
      <c r="T30" s="30"/>
      <c r="U30" s="30"/>
      <c r="V30" s="30"/>
      <c r="W30" s="30"/>
      <c r="X30" s="30"/>
      <c r="Y30" s="30"/>
      <c r="Z30" s="30"/>
      <c r="AA30" s="30"/>
    </row>
    <row r="31" spans="1:27" x14ac:dyDescent="0.3">
      <c r="A31" s="68" t="s">
        <v>99</v>
      </c>
      <c r="B31" s="95">
        <f t="shared" si="4"/>
        <v>0</v>
      </c>
      <c r="C31" s="96">
        <v>0</v>
      </c>
      <c r="D31" s="96"/>
      <c r="E31" s="96"/>
      <c r="F31" s="96"/>
      <c r="G31" s="96"/>
      <c r="H31" s="96"/>
      <c r="I31" s="96"/>
      <c r="J31" s="96"/>
      <c r="K31" s="96"/>
      <c r="L31" s="96"/>
      <c r="M31" s="96"/>
      <c r="N31" s="96"/>
      <c r="P31" s="30"/>
      <c r="Q31" s="30"/>
      <c r="R31" s="30"/>
      <c r="S31" s="30"/>
      <c r="T31" s="30"/>
      <c r="U31" s="30"/>
      <c r="V31" s="30"/>
      <c r="W31" s="30"/>
      <c r="X31" s="30"/>
      <c r="Y31" s="30"/>
      <c r="Z31" s="30"/>
      <c r="AA31" s="30"/>
    </row>
    <row r="32" spans="1:27" x14ac:dyDescent="0.3">
      <c r="A32" s="68" t="s">
        <v>100</v>
      </c>
      <c r="B32" s="95">
        <f t="shared" ref="B32:B33" si="5">SUM(C32:N32)</f>
        <v>0</v>
      </c>
      <c r="C32" s="96">
        <v>0</v>
      </c>
      <c r="D32" s="96"/>
      <c r="E32" s="96"/>
      <c r="F32" s="96"/>
      <c r="G32" s="96"/>
      <c r="H32" s="96"/>
      <c r="I32" s="96"/>
      <c r="J32" s="96"/>
      <c r="K32" s="96"/>
      <c r="L32" s="96"/>
      <c r="M32" s="96"/>
      <c r="N32" s="96"/>
      <c r="P32" s="30"/>
      <c r="Q32" s="30"/>
      <c r="R32" s="30"/>
      <c r="S32" s="30"/>
      <c r="T32" s="30"/>
      <c r="U32" s="30"/>
      <c r="V32" s="30"/>
      <c r="W32" s="30"/>
      <c r="X32" s="30"/>
      <c r="Y32" s="30"/>
      <c r="Z32" s="30"/>
      <c r="AA32" s="30"/>
    </row>
    <row r="33" spans="1:27" x14ac:dyDescent="0.3">
      <c r="A33" s="68" t="s">
        <v>123</v>
      </c>
      <c r="B33" s="95">
        <f t="shared" si="5"/>
        <v>67195744</v>
      </c>
      <c r="C33" s="96">
        <v>0</v>
      </c>
      <c r="D33" s="96"/>
      <c r="E33" s="96"/>
      <c r="F33" s="96"/>
      <c r="G33" s="96"/>
      <c r="H33" s="96">
        <v>33597872</v>
      </c>
      <c r="I33" s="96"/>
      <c r="J33" s="96"/>
      <c r="K33" s="96"/>
      <c r="L33" s="96"/>
      <c r="M33" s="96">
        <v>33597872</v>
      </c>
      <c r="N33" s="96"/>
      <c r="P33" s="30"/>
      <c r="Q33" s="30"/>
      <c r="R33" s="30"/>
      <c r="S33" s="30"/>
      <c r="T33" s="30"/>
      <c r="U33" s="30"/>
      <c r="V33" s="30"/>
      <c r="W33" s="30"/>
      <c r="X33" s="30"/>
      <c r="Y33" s="30"/>
      <c r="Z33" s="30"/>
      <c r="AA33" s="30"/>
    </row>
    <row r="34" spans="1:27" x14ac:dyDescent="0.3">
      <c r="A34" s="68" t="s">
        <v>97</v>
      </c>
      <c r="B34" s="95">
        <f t="shared" ref="B34:B44" si="6">SUM(C34:N34)</f>
        <v>0</v>
      </c>
      <c r="C34" s="96">
        <v>0</v>
      </c>
      <c r="D34" s="96"/>
      <c r="E34" s="96"/>
      <c r="F34" s="96"/>
      <c r="G34" s="96"/>
      <c r="H34" s="96"/>
      <c r="I34" s="96"/>
      <c r="J34" s="96"/>
      <c r="K34" s="96"/>
      <c r="L34" s="96"/>
      <c r="M34" s="96"/>
      <c r="N34" s="96"/>
      <c r="P34" s="30"/>
      <c r="Q34" s="30"/>
      <c r="R34" s="30"/>
      <c r="S34" s="30"/>
      <c r="T34" s="30"/>
      <c r="U34" s="30"/>
      <c r="V34" s="30"/>
      <c r="W34" s="30"/>
      <c r="X34" s="30"/>
      <c r="Y34" s="30"/>
      <c r="Z34" s="30"/>
      <c r="AA34" s="30"/>
    </row>
    <row r="35" spans="1:27" x14ac:dyDescent="0.3">
      <c r="A35" s="68" t="s">
        <v>101</v>
      </c>
      <c r="B35" s="95">
        <f t="shared" si="6"/>
        <v>0</v>
      </c>
      <c r="C35" s="96">
        <v>0</v>
      </c>
      <c r="D35" s="96"/>
      <c r="E35" s="96"/>
      <c r="F35" s="96"/>
      <c r="G35" s="96"/>
      <c r="H35" s="96"/>
      <c r="I35" s="96"/>
      <c r="J35" s="96"/>
      <c r="K35" s="96"/>
      <c r="L35" s="96"/>
      <c r="M35" s="96"/>
      <c r="N35" s="96"/>
      <c r="P35" s="30"/>
      <c r="Q35" s="30"/>
      <c r="R35" s="30"/>
      <c r="S35" s="30"/>
      <c r="T35" s="30"/>
      <c r="U35" s="30"/>
      <c r="V35" s="30"/>
      <c r="W35" s="30"/>
      <c r="X35" s="30"/>
      <c r="Y35" s="30"/>
      <c r="Z35" s="30"/>
      <c r="AA35" s="30"/>
    </row>
    <row r="36" spans="1:27" x14ac:dyDescent="0.3">
      <c r="A36" s="68" t="s">
        <v>103</v>
      </c>
      <c r="B36" s="95">
        <f t="shared" si="6"/>
        <v>0</v>
      </c>
      <c r="C36" s="96">
        <v>0</v>
      </c>
      <c r="D36" s="96"/>
      <c r="E36" s="96"/>
      <c r="F36" s="96"/>
      <c r="G36" s="96"/>
      <c r="H36" s="96"/>
      <c r="I36" s="96"/>
      <c r="J36" s="96"/>
      <c r="K36" s="96"/>
      <c r="L36" s="96"/>
      <c r="M36" s="96"/>
      <c r="N36" s="96"/>
      <c r="P36" s="30"/>
      <c r="Q36" s="30"/>
      <c r="R36" s="30"/>
      <c r="S36" s="30"/>
      <c r="T36" s="30"/>
      <c r="U36" s="30"/>
      <c r="V36" s="30"/>
      <c r="W36" s="30"/>
      <c r="X36" s="30"/>
      <c r="Y36" s="30"/>
      <c r="Z36" s="30"/>
      <c r="AA36" s="30"/>
    </row>
    <row r="37" spans="1:27" x14ac:dyDescent="0.3">
      <c r="A37" s="68" t="s">
        <v>120</v>
      </c>
      <c r="B37" s="95">
        <f t="shared" si="6"/>
        <v>15298075</v>
      </c>
      <c r="C37" s="96">
        <v>1187772</v>
      </c>
      <c r="D37" s="96">
        <v>956772</v>
      </c>
      <c r="E37" s="96">
        <v>771964</v>
      </c>
      <c r="F37" s="96">
        <v>1215764</v>
      </c>
      <c r="G37" s="96">
        <v>1105191</v>
      </c>
      <c r="H37" s="96">
        <v>2168911</v>
      </c>
      <c r="I37" s="96">
        <v>7458</v>
      </c>
      <c r="J37" s="96">
        <v>2282124</v>
      </c>
      <c r="K37" s="96">
        <v>1655441</v>
      </c>
      <c r="L37" s="96">
        <v>1623811</v>
      </c>
      <c r="M37" s="96">
        <v>2287115</v>
      </c>
      <c r="N37" s="96">
        <v>35752</v>
      </c>
      <c r="P37" s="30"/>
      <c r="Q37" s="30"/>
      <c r="R37" s="30"/>
      <c r="S37" s="30"/>
      <c r="T37" s="30"/>
      <c r="U37" s="30"/>
      <c r="V37" s="30"/>
      <c r="W37" s="30"/>
      <c r="X37" s="30"/>
      <c r="Y37" s="30"/>
      <c r="Z37" s="30"/>
      <c r="AA37" s="30"/>
    </row>
    <row r="38" spans="1:27" x14ac:dyDescent="0.3">
      <c r="A38" s="68" t="s">
        <v>121</v>
      </c>
      <c r="B38" s="95">
        <f t="shared" si="6"/>
        <v>25067587</v>
      </c>
      <c r="C38" s="96">
        <v>224138</v>
      </c>
      <c r="D38" s="96">
        <v>21286252</v>
      </c>
      <c r="E38" s="96">
        <v>0</v>
      </c>
      <c r="F38" s="96">
        <v>0</v>
      </c>
      <c r="G38" s="96">
        <v>132507</v>
      </c>
      <c r="H38" s="96">
        <v>0</v>
      </c>
      <c r="I38" s="96">
        <v>19838</v>
      </c>
      <c r="J38" s="96">
        <v>1806264</v>
      </c>
      <c r="K38" s="96">
        <v>0</v>
      </c>
      <c r="L38" s="96">
        <v>0</v>
      </c>
      <c r="M38" s="96">
        <v>0</v>
      </c>
      <c r="N38" s="96">
        <v>1598588</v>
      </c>
      <c r="P38" s="30"/>
      <c r="Q38" s="30"/>
      <c r="R38" s="30"/>
      <c r="S38" s="30"/>
      <c r="T38" s="30"/>
      <c r="U38" s="30"/>
      <c r="V38" s="30"/>
      <c r="W38" s="30"/>
      <c r="X38" s="30"/>
      <c r="Y38" s="30"/>
      <c r="Z38" s="30"/>
      <c r="AA38" s="30"/>
    </row>
    <row r="39" spans="1:27" x14ac:dyDescent="0.3">
      <c r="A39" s="68" t="s">
        <v>122</v>
      </c>
      <c r="B39" s="95">
        <f t="shared" si="6"/>
        <v>410674494</v>
      </c>
      <c r="C39" s="96">
        <v>3792141</v>
      </c>
      <c r="D39" s="96"/>
      <c r="E39" s="96"/>
      <c r="F39" s="96"/>
      <c r="G39" s="96">
        <v>47300000</v>
      </c>
      <c r="H39" s="96">
        <v>68385000</v>
      </c>
      <c r="I39" s="96">
        <v>102384266</v>
      </c>
      <c r="J39" s="96"/>
      <c r="K39" s="96"/>
      <c r="L39" s="96">
        <v>41980500</v>
      </c>
      <c r="M39" s="96">
        <v>44268436</v>
      </c>
      <c r="N39" s="96">
        <v>102564151</v>
      </c>
      <c r="P39" s="30"/>
      <c r="Q39" s="30"/>
      <c r="R39" s="30"/>
      <c r="S39" s="30"/>
      <c r="T39" s="30"/>
      <c r="U39" s="30"/>
      <c r="V39" s="30"/>
      <c r="W39" s="30"/>
      <c r="X39" s="30"/>
      <c r="Y39" s="30"/>
      <c r="Z39" s="30"/>
      <c r="AA39" s="30"/>
    </row>
    <row r="40" spans="1:27" x14ac:dyDescent="0.3">
      <c r="A40" s="68" t="s">
        <v>176</v>
      </c>
      <c r="B40" s="95">
        <f t="shared" si="6"/>
        <v>-72656716.060000002</v>
      </c>
      <c r="C40" s="96">
        <v>-7182742.2199999997</v>
      </c>
      <c r="D40" s="96"/>
      <c r="E40" s="96"/>
      <c r="F40" s="96">
        <v>-3121106.73</v>
      </c>
      <c r="G40" s="96">
        <v>-8354289.6799999997</v>
      </c>
      <c r="H40" s="96">
        <v>-3933601</v>
      </c>
      <c r="I40" s="96">
        <v>-4629055.2699999996</v>
      </c>
      <c r="J40" s="96">
        <v>-9150041.8200000003</v>
      </c>
      <c r="K40" s="96">
        <v>-11934703.279999999</v>
      </c>
      <c r="L40" s="96">
        <v>-8783403.8200000003</v>
      </c>
      <c r="M40" s="96">
        <v>-5819735.8600000003</v>
      </c>
      <c r="N40" s="96">
        <v>-9748036.3800000008</v>
      </c>
      <c r="P40" s="30"/>
      <c r="Q40" s="30"/>
      <c r="R40" s="30"/>
      <c r="S40" s="30"/>
      <c r="T40" s="30"/>
      <c r="U40" s="30"/>
      <c r="V40" s="30"/>
      <c r="W40" s="30"/>
      <c r="X40" s="30"/>
      <c r="Y40" s="30"/>
      <c r="Z40" s="30"/>
      <c r="AA40" s="30"/>
    </row>
    <row r="41" spans="1:27" x14ac:dyDescent="0.3">
      <c r="A41" s="68" t="s">
        <v>130</v>
      </c>
      <c r="B41" s="95">
        <f t="shared" si="6"/>
        <v>0</v>
      </c>
      <c r="C41" s="96"/>
      <c r="D41" s="96"/>
      <c r="E41" s="96"/>
      <c r="F41" s="96"/>
      <c r="G41" s="96"/>
      <c r="H41" s="96"/>
      <c r="I41" s="96"/>
      <c r="J41" s="96"/>
      <c r="K41" s="96"/>
      <c r="L41" s="96"/>
      <c r="M41" s="96"/>
      <c r="N41" s="96"/>
      <c r="P41" s="30"/>
      <c r="Q41" s="30"/>
      <c r="R41" s="30"/>
      <c r="S41" s="30"/>
      <c r="T41" s="30"/>
      <c r="U41" s="30"/>
      <c r="V41" s="30"/>
      <c r="W41" s="30"/>
      <c r="X41" s="30"/>
      <c r="Y41" s="30"/>
      <c r="Z41" s="30"/>
      <c r="AA41" s="30"/>
    </row>
    <row r="42" spans="1:27" x14ac:dyDescent="0.3">
      <c r="A42" s="68" t="s">
        <v>130</v>
      </c>
      <c r="B42" s="95">
        <f t="shared" si="6"/>
        <v>0</v>
      </c>
      <c r="C42" s="96"/>
      <c r="D42" s="96"/>
      <c r="E42" s="96"/>
      <c r="F42" s="96"/>
      <c r="G42" s="96"/>
      <c r="H42" s="96"/>
      <c r="I42" s="96"/>
      <c r="J42" s="96"/>
      <c r="K42" s="96"/>
      <c r="L42" s="96"/>
      <c r="M42" s="96"/>
      <c r="N42" s="96"/>
      <c r="P42" s="30"/>
      <c r="Q42" s="30"/>
      <c r="R42" s="30"/>
      <c r="S42" s="30"/>
      <c r="T42" s="30"/>
      <c r="U42" s="30"/>
      <c r="V42" s="30"/>
      <c r="W42" s="30"/>
      <c r="X42" s="30"/>
      <c r="Y42" s="30"/>
      <c r="Z42" s="30"/>
      <c r="AA42" s="30"/>
    </row>
    <row r="43" spans="1:27" x14ac:dyDescent="0.3">
      <c r="A43" s="68" t="s">
        <v>130</v>
      </c>
      <c r="B43" s="95">
        <f t="shared" si="6"/>
        <v>0</v>
      </c>
      <c r="C43" s="96"/>
      <c r="D43" s="96"/>
      <c r="E43" s="96"/>
      <c r="F43" s="96"/>
      <c r="G43" s="96"/>
      <c r="H43" s="96"/>
      <c r="I43" s="96"/>
      <c r="J43" s="96"/>
      <c r="K43" s="96"/>
      <c r="L43" s="96"/>
      <c r="M43" s="96"/>
      <c r="N43" s="96"/>
      <c r="P43" s="30"/>
      <c r="Q43" s="30"/>
      <c r="R43" s="30"/>
      <c r="S43" s="30"/>
      <c r="T43" s="30"/>
      <c r="U43" s="30"/>
      <c r="V43" s="30"/>
      <c r="W43" s="30"/>
      <c r="X43" s="30"/>
      <c r="Y43" s="30"/>
      <c r="Z43" s="30"/>
      <c r="AA43" s="30"/>
    </row>
    <row r="44" spans="1:27" x14ac:dyDescent="0.3">
      <c r="A44" s="68" t="s">
        <v>131</v>
      </c>
      <c r="B44" s="95">
        <f t="shared" si="6"/>
        <v>0</v>
      </c>
      <c r="C44" s="96"/>
      <c r="D44" s="96"/>
      <c r="E44" s="96"/>
      <c r="F44" s="96"/>
      <c r="G44" s="96"/>
      <c r="H44" s="96"/>
      <c r="I44" s="96"/>
      <c r="J44" s="96"/>
      <c r="K44" s="96"/>
      <c r="L44" s="96"/>
      <c r="M44" s="96"/>
      <c r="N44" s="96"/>
      <c r="P44" s="30"/>
      <c r="Q44" s="30"/>
      <c r="R44" s="30"/>
      <c r="S44" s="30"/>
      <c r="T44" s="30"/>
      <c r="U44" s="30"/>
      <c r="V44" s="30"/>
      <c r="W44" s="30"/>
      <c r="X44" s="30"/>
      <c r="Y44" s="30"/>
      <c r="Z44" s="30"/>
      <c r="AA44" s="30"/>
    </row>
    <row r="45" spans="1:27" x14ac:dyDescent="0.3">
      <c r="A45" s="35" t="s">
        <v>9</v>
      </c>
      <c r="B45" s="97">
        <f>SUM(B28:B44)</f>
        <v>824999932.94000006</v>
      </c>
      <c r="C45" s="97">
        <f t="shared" ref="C45:N45" si="7">SUM(C28:C44)</f>
        <v>30343873.780000001</v>
      </c>
      <c r="D45" s="97">
        <f t="shared" si="7"/>
        <v>47367600</v>
      </c>
      <c r="E45" s="97">
        <f t="shared" si="7"/>
        <v>29410154</v>
      </c>
      <c r="F45" s="97">
        <f t="shared" si="7"/>
        <v>28103977.27</v>
      </c>
      <c r="G45" s="97">
        <f t="shared" si="7"/>
        <v>73879185.319999993</v>
      </c>
      <c r="H45" s="97">
        <f t="shared" si="7"/>
        <v>128534526</v>
      </c>
      <c r="I45" s="97">
        <f t="shared" si="7"/>
        <v>135884931.72999999</v>
      </c>
      <c r="J45" s="97">
        <f t="shared" si="7"/>
        <v>29916936.18</v>
      </c>
      <c r="K45" s="97">
        <f t="shared" si="7"/>
        <v>25967989.719999999</v>
      </c>
      <c r="L45" s="97">
        <f t="shared" si="7"/>
        <v>68597552.180000007</v>
      </c>
      <c r="M45" s="97">
        <f t="shared" si="7"/>
        <v>107703385.14</v>
      </c>
      <c r="N45" s="97">
        <f t="shared" si="7"/>
        <v>119289821.62</v>
      </c>
    </row>
    <row r="46" spans="1:27" ht="15" thickBot="1" x14ac:dyDescent="0.35">
      <c r="A46" s="36" t="s">
        <v>10</v>
      </c>
      <c r="B46" s="100">
        <f t="shared" ref="B46:N46" si="8">B26-B45</f>
        <v>167342846.3499999</v>
      </c>
      <c r="C46" s="100">
        <f t="shared" si="8"/>
        <v>6100608.2199999988</v>
      </c>
      <c r="D46" s="100">
        <f t="shared" si="8"/>
        <v>697584</v>
      </c>
      <c r="E46" s="100">
        <f t="shared" si="8"/>
        <v>-2177196</v>
      </c>
      <c r="F46" s="100">
        <f t="shared" si="8"/>
        <v>106004729.23</v>
      </c>
      <c r="G46" s="100">
        <f t="shared" si="8"/>
        <v>101969975.68000001</v>
      </c>
      <c r="H46" s="100">
        <f t="shared" si="8"/>
        <v>-42982897</v>
      </c>
      <c r="I46" s="100">
        <f t="shared" si="8"/>
        <v>-99782646.079999983</v>
      </c>
      <c r="J46" s="100">
        <f t="shared" si="8"/>
        <v>5557968.5700000003</v>
      </c>
      <c r="K46" s="100">
        <f t="shared" si="8"/>
        <v>42966005.969999999</v>
      </c>
      <c r="L46" s="100">
        <f t="shared" si="8"/>
        <v>142198839.31999999</v>
      </c>
      <c r="M46" s="100">
        <f t="shared" si="8"/>
        <v>-17692170.040000007</v>
      </c>
      <c r="N46" s="100">
        <f t="shared" si="8"/>
        <v>-75517955.520000011</v>
      </c>
    </row>
    <row r="47" spans="1:27" x14ac:dyDescent="0.3">
      <c r="A47" s="32" t="s">
        <v>168</v>
      </c>
      <c r="B47" s="32"/>
      <c r="C47" s="37"/>
      <c r="D47" s="37"/>
    </row>
    <row r="48" spans="1:27" x14ac:dyDescent="0.3">
      <c r="A48" s="33"/>
      <c r="B48" s="34" t="str">
        <f>CONCATENATE("TOTAL-",(RIGHT(B$89,4)-2))</f>
        <v>TOTAL-2023</v>
      </c>
      <c r="C48" s="34" t="str">
        <f>CONCATENATE(LEFT(C$89,4),(RIGHT(C$89,4)-2))</f>
        <v>JUL-2022</v>
      </c>
      <c r="D48" s="34" t="str">
        <f t="shared" ref="D48:N48" si="9">CONCATENATE(LEFT(D$89,4),(RIGHT(D$89,4)-2))</f>
        <v>AUG-2022</v>
      </c>
      <c r="E48" s="34" t="str">
        <f t="shared" si="9"/>
        <v>SEP-2022</v>
      </c>
      <c r="F48" s="34" t="str">
        <f t="shared" si="9"/>
        <v>OCT-2022</v>
      </c>
      <c r="G48" s="34" t="str">
        <f t="shared" si="9"/>
        <v>NOV-2022</v>
      </c>
      <c r="H48" s="34" t="str">
        <f t="shared" si="9"/>
        <v>DEC-2022</v>
      </c>
      <c r="I48" s="34" t="str">
        <f t="shared" si="9"/>
        <v>JAN-2023</v>
      </c>
      <c r="J48" s="34" t="str">
        <f t="shared" si="9"/>
        <v>FEB-2023</v>
      </c>
      <c r="K48" s="34" t="str">
        <f t="shared" si="9"/>
        <v>MAR-2023</v>
      </c>
      <c r="L48" s="34" t="str">
        <f t="shared" si="9"/>
        <v>APR-2023</v>
      </c>
      <c r="M48" s="34" t="str">
        <f t="shared" si="9"/>
        <v>MAY-2023</v>
      </c>
      <c r="N48" s="34" t="str">
        <f t="shared" si="9"/>
        <v>JUN-2023</v>
      </c>
    </row>
    <row r="49" spans="1:14" x14ac:dyDescent="0.3">
      <c r="A49" s="7" t="s">
        <v>6</v>
      </c>
      <c r="B49" s="7"/>
    </row>
    <row r="50" spans="1:14" x14ac:dyDescent="0.3">
      <c r="A50" t="str">
        <f t="shared" ref="A50:A61" si="10">A9</f>
        <v>PROPERTY TAX</v>
      </c>
      <c r="B50" s="95">
        <f>SUM(C50:N50)</f>
        <v>510278023</v>
      </c>
      <c r="C50" s="96">
        <v>4874893</v>
      </c>
      <c r="D50" s="96">
        <v>2174518</v>
      </c>
      <c r="E50" s="96">
        <v>6165571</v>
      </c>
      <c r="F50" s="96">
        <v>113619655</v>
      </c>
      <c r="G50" s="96">
        <v>137923971</v>
      </c>
      <c r="H50" s="96">
        <v>5306350</v>
      </c>
      <c r="I50" s="96">
        <v>4101379</v>
      </c>
      <c r="J50" s="96">
        <v>4904301</v>
      </c>
      <c r="K50" s="96">
        <v>42420741</v>
      </c>
      <c r="L50" s="96">
        <v>178092610</v>
      </c>
      <c r="M50" s="96">
        <v>6786339</v>
      </c>
      <c r="N50" s="96">
        <v>3907695</v>
      </c>
    </row>
    <row r="51" spans="1:14" x14ac:dyDescent="0.3">
      <c r="A51" t="str">
        <f t="shared" si="10"/>
        <v>SALES &amp; USE TAX</v>
      </c>
      <c r="B51" s="95">
        <f t="shared" ref="B51:B55" si="11">SUM(C51:N51)</f>
        <v>0</v>
      </c>
      <c r="C51" s="96"/>
      <c r="D51" s="96"/>
      <c r="E51" s="96"/>
      <c r="F51" s="96"/>
      <c r="G51" s="96"/>
      <c r="H51" s="96"/>
      <c r="I51" s="96"/>
      <c r="J51" s="96"/>
      <c r="K51" s="96"/>
      <c r="L51" s="96"/>
      <c r="M51" s="96"/>
      <c r="N51" s="96"/>
    </row>
    <row r="52" spans="1:14" x14ac:dyDescent="0.3">
      <c r="A52" t="str">
        <f t="shared" si="10"/>
        <v>FEES &amp; PERMITS</v>
      </c>
      <c r="B52" s="95">
        <f t="shared" si="11"/>
        <v>0</v>
      </c>
      <c r="C52" s="96"/>
      <c r="D52" s="96"/>
      <c r="E52" s="96"/>
      <c r="F52" s="96"/>
      <c r="G52" s="96"/>
      <c r="H52" s="96"/>
      <c r="I52" s="96"/>
      <c r="J52" s="96"/>
      <c r="K52" s="96"/>
      <c r="L52" s="96"/>
      <c r="M52" s="96"/>
      <c r="N52" s="96"/>
    </row>
    <row r="53" spans="1:14" x14ac:dyDescent="0.3">
      <c r="A53" t="str">
        <f t="shared" si="10"/>
        <v>FISCAL DISPARITIES</v>
      </c>
      <c r="B53" s="95">
        <f t="shared" si="11"/>
        <v>96723908</v>
      </c>
      <c r="C53" s="96"/>
      <c r="D53" s="96"/>
      <c r="E53" s="96"/>
      <c r="F53" s="96"/>
      <c r="G53" s="96"/>
      <c r="H53" s="96">
        <v>46010008</v>
      </c>
      <c r="I53" s="96">
        <v>2351951</v>
      </c>
      <c r="J53" s="96"/>
      <c r="K53" s="96"/>
      <c r="L53" s="96"/>
      <c r="M53" s="96">
        <v>48361949</v>
      </c>
      <c r="N53" s="96"/>
    </row>
    <row r="54" spans="1:14" x14ac:dyDescent="0.3">
      <c r="A54" t="str">
        <f t="shared" si="10"/>
        <v>BUSINESS LICENSE TAXES</v>
      </c>
      <c r="B54" s="95">
        <f t="shared" si="11"/>
        <v>0</v>
      </c>
      <c r="C54" s="96"/>
      <c r="D54" s="96"/>
      <c r="E54" s="96"/>
      <c r="F54" s="96"/>
      <c r="G54" s="96"/>
      <c r="H54" s="96"/>
      <c r="I54" s="96"/>
      <c r="J54" s="96"/>
      <c r="K54" s="96"/>
      <c r="L54" s="96"/>
      <c r="M54" s="96"/>
      <c r="N54" s="96"/>
    </row>
    <row r="55" spans="1:14" x14ac:dyDescent="0.3">
      <c r="A55" t="str">
        <f t="shared" si="10"/>
        <v>INTRAGOVT SVC CHARGES</v>
      </c>
      <c r="B55" s="95">
        <f t="shared" si="11"/>
        <v>0</v>
      </c>
      <c r="C55" s="96"/>
      <c r="D55" s="96"/>
      <c r="E55" s="96"/>
      <c r="F55" s="96"/>
      <c r="G55" s="96"/>
      <c r="H55" s="96"/>
      <c r="I55" s="96"/>
      <c r="J55" s="96"/>
      <c r="K55" s="96"/>
      <c r="L55" s="96"/>
      <c r="M55" s="96"/>
      <c r="N55" s="96"/>
    </row>
    <row r="56" spans="1:14" x14ac:dyDescent="0.3">
      <c r="A56" t="str">
        <f t="shared" si="10"/>
        <v>INTERGOVT REVENUES</v>
      </c>
      <c r="B56" s="95">
        <f t="shared" ref="B56" si="12">SUM(C56:N56)</f>
        <v>241047547</v>
      </c>
      <c r="C56" s="96">
        <v>20136183</v>
      </c>
      <c r="D56" s="96">
        <v>21389532</v>
      </c>
      <c r="E56" s="96">
        <v>21109779</v>
      </c>
      <c r="F56" s="96">
        <v>16466065</v>
      </c>
      <c r="G56" s="96">
        <v>24482830</v>
      </c>
      <c r="H56" s="96">
        <v>12380904</v>
      </c>
      <c r="I56" s="96">
        <v>31619512</v>
      </c>
      <c r="J56" s="96">
        <v>21470254</v>
      </c>
      <c r="K56" s="96">
        <v>13025048</v>
      </c>
      <c r="L56" s="96">
        <v>15475140</v>
      </c>
      <c r="M56" s="96">
        <v>22869297</v>
      </c>
      <c r="N56" s="96">
        <v>20623003</v>
      </c>
    </row>
    <row r="57" spans="1:14" x14ac:dyDescent="0.3">
      <c r="A57" t="str">
        <f t="shared" si="10"/>
        <v>REIMBURSEMENTS</v>
      </c>
      <c r="B57" s="95">
        <f t="shared" ref="B57" si="13">SUM(C57:N57)</f>
        <v>0</v>
      </c>
      <c r="C57" s="96"/>
      <c r="D57" s="96"/>
      <c r="E57" s="96"/>
      <c r="F57" s="96"/>
      <c r="G57" s="96"/>
      <c r="H57" s="96"/>
      <c r="I57" s="96"/>
      <c r="J57" s="96"/>
      <c r="K57" s="96"/>
      <c r="L57" s="96"/>
      <c r="M57" s="96"/>
      <c r="N57" s="96"/>
    </row>
    <row r="58" spans="1:14" x14ac:dyDescent="0.3">
      <c r="A58" t="str">
        <f t="shared" si="10"/>
        <v>DONATIONS/CONTRIBS/ INV INCOME</v>
      </c>
      <c r="B58" s="95">
        <f t="shared" ref="B58:B61" si="14">SUM(C58:N58)</f>
        <v>5633100</v>
      </c>
      <c r="C58" s="96">
        <v>318688</v>
      </c>
      <c r="D58" s="96">
        <v>590185</v>
      </c>
      <c r="E58" s="96">
        <v>229270</v>
      </c>
      <c r="F58" s="96">
        <v>312372</v>
      </c>
      <c r="G58" s="96">
        <v>395999</v>
      </c>
      <c r="H58" s="96">
        <v>638576</v>
      </c>
      <c r="I58" s="96">
        <v>309180</v>
      </c>
      <c r="J58" s="96">
        <v>683454</v>
      </c>
      <c r="K58" s="96">
        <v>275252</v>
      </c>
      <c r="L58" s="96">
        <v>426092</v>
      </c>
      <c r="M58" s="96">
        <v>599481</v>
      </c>
      <c r="N58" s="96">
        <f>154551+700000</f>
        <v>854551</v>
      </c>
    </row>
    <row r="59" spans="1:14" x14ac:dyDescent="0.3">
      <c r="A59" t="str">
        <f t="shared" si="10"/>
        <v>FINES &amp; FORFEITURES</v>
      </c>
      <c r="B59" s="95">
        <f t="shared" si="14"/>
        <v>0</v>
      </c>
      <c r="C59" s="96"/>
      <c r="D59" s="96"/>
      <c r="E59" s="96"/>
      <c r="F59" s="96"/>
      <c r="G59" s="96"/>
      <c r="H59" s="96"/>
      <c r="I59" s="96"/>
      <c r="J59" s="96"/>
      <c r="K59" s="96"/>
      <c r="L59" s="96"/>
      <c r="M59" s="96"/>
      <c r="N59" s="96"/>
    </row>
    <row r="60" spans="1:14" x14ac:dyDescent="0.3">
      <c r="A60" t="str">
        <f t="shared" si="10"/>
        <v>USE OF MONEY &amp; PROPERTY</v>
      </c>
      <c r="B60" s="95">
        <f t="shared" si="14"/>
        <v>0</v>
      </c>
      <c r="C60" s="96"/>
      <c r="D60" s="96"/>
      <c r="E60" s="96"/>
      <c r="F60" s="96"/>
      <c r="G60" s="96"/>
      <c r="H60" s="96"/>
      <c r="I60" s="96"/>
      <c r="J60" s="96"/>
      <c r="K60" s="96"/>
      <c r="L60" s="96"/>
      <c r="M60" s="96"/>
      <c r="N60" s="96"/>
    </row>
    <row r="61" spans="1:14" x14ac:dyDescent="0.3">
      <c r="A61" t="str">
        <f t="shared" si="10"/>
        <v>OTHER SOURCES / INV MATURITIES</v>
      </c>
      <c r="B61" s="95">
        <f t="shared" si="14"/>
        <v>72473335</v>
      </c>
      <c r="C61" s="96">
        <f>21228008-C58</f>
        <v>20909320</v>
      </c>
      <c r="D61" s="96">
        <f>2240232-D58</f>
        <v>1650047</v>
      </c>
      <c r="E61" s="96">
        <f>481876-E58</f>
        <v>252606</v>
      </c>
      <c r="F61" s="96">
        <f>3054110-F58</f>
        <v>2741738</v>
      </c>
      <c r="G61" s="96">
        <v>0</v>
      </c>
      <c r="H61" s="96">
        <f>28562922-H58</f>
        <v>27924346</v>
      </c>
      <c r="I61" s="96">
        <f>1267556-I58</f>
        <v>958376</v>
      </c>
      <c r="J61" s="96">
        <f>7526575-J58</f>
        <v>6843121</v>
      </c>
      <c r="K61" s="96">
        <f>1646581-K58</f>
        <v>1371329</v>
      </c>
      <c r="L61" s="96">
        <f>2391793-L58</f>
        <v>1965701</v>
      </c>
      <c r="M61" s="96">
        <f>8456232-M58</f>
        <v>7856751</v>
      </c>
      <c r="N61" s="96">
        <v>0</v>
      </c>
    </row>
    <row r="62" spans="1:14" x14ac:dyDescent="0.3">
      <c r="A62" t="str">
        <f t="shared" ref="A62:A66" si="15">A21</f>
        <v>TRANSIT TAX</v>
      </c>
      <c r="B62" s="95">
        <f t="shared" ref="B62:B66" si="16">SUM(C62:N62)</f>
        <v>11692376</v>
      </c>
      <c r="C62" s="96">
        <v>1012141</v>
      </c>
      <c r="D62" s="96">
        <v>956036</v>
      </c>
      <c r="E62" s="96">
        <v>909765</v>
      </c>
      <c r="F62" s="96">
        <v>772930</v>
      </c>
      <c r="G62" s="96">
        <v>960511</v>
      </c>
      <c r="H62" s="96">
        <v>891835</v>
      </c>
      <c r="I62" s="96">
        <v>1008025</v>
      </c>
      <c r="J62" s="96">
        <v>806274</v>
      </c>
      <c r="K62" s="96">
        <v>1269096</v>
      </c>
      <c r="L62" s="96">
        <v>1053798</v>
      </c>
      <c r="M62" s="96">
        <v>1015431</v>
      </c>
      <c r="N62" s="96">
        <v>1036534</v>
      </c>
    </row>
    <row r="63" spans="1:14" x14ac:dyDescent="0.3">
      <c r="A63" t="str">
        <f t="shared" si="15"/>
        <v>PARK</v>
      </c>
      <c r="B63" s="95">
        <f t="shared" si="16"/>
        <v>4628261</v>
      </c>
      <c r="C63" s="96">
        <v>218192</v>
      </c>
      <c r="D63" s="96">
        <v>103933</v>
      </c>
      <c r="E63" s="96">
        <v>96827</v>
      </c>
      <c r="F63" s="96">
        <v>112968</v>
      </c>
      <c r="G63" s="96">
        <v>370512</v>
      </c>
      <c r="H63" s="96">
        <v>749156</v>
      </c>
      <c r="I63" s="96">
        <v>1354006</v>
      </c>
      <c r="J63" s="96">
        <v>1020234</v>
      </c>
      <c r="K63" s="96">
        <v>337369</v>
      </c>
      <c r="L63" s="96">
        <v>149610</v>
      </c>
      <c r="M63" s="96">
        <v>33466</v>
      </c>
      <c r="N63" s="96">
        <v>81988</v>
      </c>
    </row>
    <row r="64" spans="1:14" x14ac:dyDescent="0.3">
      <c r="A64" t="str">
        <f t="shared" si="15"/>
        <v>LIBRARY</v>
      </c>
      <c r="B64" s="95">
        <f t="shared" si="16"/>
        <v>604126</v>
      </c>
      <c r="C64" s="96">
        <v>28219</v>
      </c>
      <c r="D64" s="96">
        <v>23508</v>
      </c>
      <c r="E64" s="96">
        <v>87588</v>
      </c>
      <c r="F64" s="96">
        <v>71119</v>
      </c>
      <c r="G64" s="96">
        <v>34747</v>
      </c>
      <c r="H64" s="96">
        <v>27319</v>
      </c>
      <c r="I64" s="96">
        <v>30154</v>
      </c>
      <c r="J64" s="96">
        <v>48336</v>
      </c>
      <c r="K64" s="96">
        <v>24404</v>
      </c>
      <c r="L64" s="96">
        <v>126236</v>
      </c>
      <c r="M64" s="96">
        <v>72910</v>
      </c>
      <c r="N64" s="96">
        <v>29586</v>
      </c>
    </row>
    <row r="65" spans="1:27" x14ac:dyDescent="0.3">
      <c r="A65" t="str">
        <f t="shared" si="15"/>
        <v>FINANCING PROCEEDS</v>
      </c>
      <c r="B65" s="95">
        <f t="shared" si="16"/>
        <v>0</v>
      </c>
      <c r="C65" s="96"/>
      <c r="D65" s="96"/>
      <c r="E65" s="96"/>
      <c r="F65" s="96"/>
      <c r="G65" s="96"/>
      <c r="H65" s="96"/>
      <c r="I65" s="96"/>
      <c r="J65" s="96"/>
      <c r="K65" s="96"/>
      <c r="L65" s="96"/>
      <c r="M65" s="96"/>
      <c r="N65" s="96"/>
    </row>
    <row r="66" spans="1:27" x14ac:dyDescent="0.3">
      <c r="A66" t="str">
        <f t="shared" si="15"/>
        <v>OTHER NON-RECURRING SOURCES</v>
      </c>
      <c r="B66" s="95">
        <f t="shared" si="16"/>
        <v>0</v>
      </c>
      <c r="C66" s="96"/>
      <c r="D66" s="96"/>
      <c r="E66" s="96"/>
      <c r="F66" s="96"/>
      <c r="G66" s="96"/>
      <c r="H66" s="96"/>
      <c r="I66" s="96"/>
      <c r="J66" s="96"/>
      <c r="K66" s="96"/>
      <c r="L66" s="96"/>
      <c r="M66" s="96"/>
      <c r="N66" s="96"/>
    </row>
    <row r="67" spans="1:27" x14ac:dyDescent="0.3">
      <c r="A67" s="35" t="s">
        <v>8</v>
      </c>
      <c r="B67" s="97">
        <f t="shared" ref="B67:N67" si="17">SUM(B50:B66)</f>
        <v>943080676</v>
      </c>
      <c r="C67" s="97">
        <f t="shared" si="17"/>
        <v>47497636</v>
      </c>
      <c r="D67" s="97">
        <f t="shared" si="17"/>
        <v>26887759</v>
      </c>
      <c r="E67" s="97">
        <f t="shared" si="17"/>
        <v>28851406</v>
      </c>
      <c r="F67" s="97">
        <f t="shared" si="17"/>
        <v>134096847</v>
      </c>
      <c r="G67" s="97">
        <f t="shared" si="17"/>
        <v>164168570</v>
      </c>
      <c r="H67" s="97">
        <f t="shared" si="17"/>
        <v>93928494</v>
      </c>
      <c r="I67" s="97">
        <f t="shared" si="17"/>
        <v>41732583</v>
      </c>
      <c r="J67" s="97">
        <f t="shared" si="17"/>
        <v>35775974</v>
      </c>
      <c r="K67" s="97">
        <f t="shared" si="17"/>
        <v>58723239</v>
      </c>
      <c r="L67" s="97">
        <f t="shared" si="17"/>
        <v>197289187</v>
      </c>
      <c r="M67" s="97">
        <f t="shared" si="17"/>
        <v>87595624</v>
      </c>
      <c r="N67" s="97">
        <f t="shared" si="17"/>
        <v>26533357</v>
      </c>
    </row>
    <row r="68" spans="1:27" x14ac:dyDescent="0.3">
      <c r="A68" s="7" t="s">
        <v>7</v>
      </c>
      <c r="B68" s="98"/>
      <c r="C68" s="101"/>
      <c r="D68" s="101"/>
      <c r="E68" s="101"/>
      <c r="F68" s="101"/>
      <c r="G68" s="101"/>
      <c r="H68" s="101"/>
      <c r="I68" s="101"/>
      <c r="J68" s="101"/>
      <c r="K68" s="101"/>
      <c r="L68" s="101"/>
      <c r="M68" s="101"/>
      <c r="N68" s="101"/>
    </row>
    <row r="69" spans="1:27" x14ac:dyDescent="0.3">
      <c r="A69" t="str">
        <f t="shared" ref="A69:A79" si="18">A28</f>
        <v>SALARIES &amp; WAGES</v>
      </c>
      <c r="B69" s="95">
        <f t="shared" ref="B69:B72" si="19">SUM(C69:N69)</f>
        <v>113980179</v>
      </c>
      <c r="C69" s="96">
        <v>8828889</v>
      </c>
      <c r="D69" s="96">
        <v>8268207</v>
      </c>
      <c r="E69" s="96">
        <v>8702812</v>
      </c>
      <c r="F69" s="96">
        <v>8943280</v>
      </c>
      <c r="G69" s="96">
        <v>8480934</v>
      </c>
      <c r="H69" s="96">
        <v>13098474</v>
      </c>
      <c r="I69" s="96">
        <v>9169164</v>
      </c>
      <c r="J69" s="96">
        <v>8837393</v>
      </c>
      <c r="K69" s="96">
        <v>8665040</v>
      </c>
      <c r="L69" s="96">
        <v>8587387</v>
      </c>
      <c r="M69" s="96">
        <v>13804801</v>
      </c>
      <c r="N69" s="96">
        <v>8593798</v>
      </c>
      <c r="P69" s="30"/>
      <c r="Q69" s="30"/>
      <c r="R69" s="30"/>
      <c r="S69" s="30"/>
      <c r="T69" s="30"/>
      <c r="U69" s="30"/>
      <c r="V69" s="30"/>
      <c r="W69" s="30"/>
      <c r="X69" s="30"/>
      <c r="Y69" s="30"/>
      <c r="Z69" s="30"/>
      <c r="AA69" s="30"/>
    </row>
    <row r="70" spans="1:27" x14ac:dyDescent="0.3">
      <c r="A70" t="str">
        <f t="shared" si="18"/>
        <v>BENEFITS</v>
      </c>
      <c r="B70" s="95">
        <f t="shared" si="19"/>
        <v>22977569</v>
      </c>
      <c r="C70" s="96">
        <v>1730342</v>
      </c>
      <c r="D70" s="96">
        <v>1778476</v>
      </c>
      <c r="E70" s="96">
        <v>1813627</v>
      </c>
      <c r="F70" s="96">
        <v>1782040</v>
      </c>
      <c r="G70" s="96">
        <v>1767301</v>
      </c>
      <c r="H70" s="96">
        <v>2561479</v>
      </c>
      <c r="I70" s="96">
        <v>1808028</v>
      </c>
      <c r="J70" s="96">
        <v>1755245</v>
      </c>
      <c r="K70" s="96">
        <v>1745417</v>
      </c>
      <c r="L70" s="96">
        <v>1735134</v>
      </c>
      <c r="M70" s="96">
        <v>2624252</v>
      </c>
      <c r="N70" s="96">
        <v>1876228</v>
      </c>
      <c r="P70" s="30"/>
      <c r="Q70" s="30"/>
      <c r="R70" s="30"/>
      <c r="S70" s="30"/>
      <c r="T70" s="30"/>
      <c r="U70" s="30"/>
      <c r="V70" s="30"/>
      <c r="W70" s="30"/>
      <c r="X70" s="30"/>
      <c r="Y70" s="30"/>
      <c r="Z70" s="30"/>
      <c r="AA70" s="30"/>
    </row>
    <row r="71" spans="1:27" x14ac:dyDescent="0.3">
      <c r="A71" t="str">
        <f t="shared" si="18"/>
        <v>CONTRACTUAL SERVICES</v>
      </c>
      <c r="B71" s="95">
        <f t="shared" si="19"/>
        <v>212241208</v>
      </c>
      <c r="C71" s="96">
        <v>21971496</v>
      </c>
      <c r="D71" s="96">
        <v>15998766</v>
      </c>
      <c r="E71" s="96">
        <v>16106945</v>
      </c>
      <c r="F71" s="96">
        <v>17865209</v>
      </c>
      <c r="G71" s="96">
        <v>16751881</v>
      </c>
      <c r="H71" s="96">
        <v>17161068</v>
      </c>
      <c r="I71" s="96">
        <v>18125968</v>
      </c>
      <c r="J71" s="96">
        <v>22695896</v>
      </c>
      <c r="K71" s="96">
        <v>16751684</v>
      </c>
      <c r="L71" s="96">
        <v>18035018</v>
      </c>
      <c r="M71" s="96">
        <v>18182048</v>
      </c>
      <c r="N71" s="96">
        <v>12595229</v>
      </c>
      <c r="P71" s="30"/>
      <c r="Q71" s="30"/>
      <c r="R71" s="30"/>
      <c r="S71" s="30"/>
      <c r="T71" s="30"/>
      <c r="U71" s="30"/>
      <c r="V71" s="30"/>
      <c r="W71" s="30"/>
      <c r="X71" s="30"/>
      <c r="Y71" s="30"/>
      <c r="Z71" s="30"/>
      <c r="AA71" s="30"/>
    </row>
    <row r="72" spans="1:27" x14ac:dyDescent="0.3">
      <c r="A72" t="str">
        <f t="shared" si="18"/>
        <v>UTILITIES</v>
      </c>
      <c r="B72" s="95">
        <f t="shared" si="19"/>
        <v>0</v>
      </c>
      <c r="C72" s="96"/>
      <c r="D72" s="96"/>
      <c r="E72" s="96"/>
      <c r="F72" s="96"/>
      <c r="G72" s="96"/>
      <c r="H72" s="96"/>
      <c r="I72" s="96"/>
      <c r="J72" s="96"/>
      <c r="K72" s="96"/>
      <c r="L72" s="96"/>
      <c r="M72" s="96"/>
      <c r="N72" s="96"/>
      <c r="P72" s="30"/>
      <c r="Q72" s="30"/>
      <c r="R72" s="30"/>
      <c r="S72" s="30"/>
      <c r="T72" s="30"/>
      <c r="U72" s="30"/>
      <c r="V72" s="30"/>
      <c r="W72" s="30"/>
      <c r="X72" s="30"/>
      <c r="Y72" s="30"/>
      <c r="Z72" s="30"/>
      <c r="AA72" s="30"/>
    </row>
    <row r="73" spans="1:27" x14ac:dyDescent="0.3">
      <c r="A73" t="str">
        <f t="shared" si="18"/>
        <v>MAINTENANCE AND REPAIRS</v>
      </c>
      <c r="B73" s="95">
        <f t="shared" ref="B73" si="20">SUM(C73:N73)</f>
        <v>0</v>
      </c>
      <c r="C73" s="96"/>
      <c r="D73" s="96"/>
      <c r="E73" s="96"/>
      <c r="F73" s="96"/>
      <c r="G73" s="96"/>
      <c r="H73" s="96"/>
      <c r="I73" s="96"/>
      <c r="J73" s="96"/>
      <c r="K73" s="96"/>
      <c r="L73" s="96"/>
      <c r="M73" s="96"/>
      <c r="N73" s="96"/>
      <c r="P73" s="30"/>
      <c r="Q73" s="30"/>
      <c r="R73" s="30"/>
      <c r="S73" s="30"/>
      <c r="T73" s="30"/>
      <c r="U73" s="30"/>
      <c r="V73" s="30"/>
      <c r="W73" s="30"/>
      <c r="X73" s="30"/>
      <c r="Y73" s="30"/>
      <c r="Z73" s="30"/>
      <c r="AA73" s="30"/>
    </row>
    <row r="74" spans="1:27" x14ac:dyDescent="0.3">
      <c r="A74" t="str">
        <f t="shared" si="18"/>
        <v>FISCAL DISPARITIES</v>
      </c>
      <c r="B74" s="95">
        <f t="shared" ref="B74" si="21">SUM(C74:N74)</f>
        <v>66691562</v>
      </c>
      <c r="C74" s="96"/>
      <c r="D74" s="96"/>
      <c r="E74" s="96"/>
      <c r="F74" s="96"/>
      <c r="G74" s="96"/>
      <c r="H74" s="96">
        <v>31724107</v>
      </c>
      <c r="I74" s="96">
        <v>1621674</v>
      </c>
      <c r="J74" s="96"/>
      <c r="K74" s="96"/>
      <c r="L74" s="96"/>
      <c r="M74" s="96">
        <v>33345781</v>
      </c>
      <c r="N74" s="96"/>
      <c r="P74" s="30"/>
      <c r="Q74" s="30"/>
      <c r="R74" s="30"/>
      <c r="S74" s="30"/>
      <c r="T74" s="30"/>
      <c r="U74" s="30"/>
      <c r="V74" s="30"/>
      <c r="W74" s="30"/>
      <c r="X74" s="30"/>
      <c r="Y74" s="30"/>
      <c r="Z74" s="30"/>
      <c r="AA74" s="30"/>
    </row>
    <row r="75" spans="1:27" x14ac:dyDescent="0.3">
      <c r="A75" t="str">
        <f t="shared" si="18"/>
        <v>CAPITAL</v>
      </c>
      <c r="B75" s="95">
        <f t="shared" ref="B75" si="22">SUM(C75:N75)</f>
        <v>0</v>
      </c>
      <c r="C75" s="96"/>
      <c r="D75" s="96"/>
      <c r="E75" s="96"/>
      <c r="F75" s="96"/>
      <c r="G75" s="96"/>
      <c r="H75" s="96"/>
      <c r="I75" s="96"/>
      <c r="J75" s="96"/>
      <c r="K75" s="96"/>
      <c r="L75" s="96"/>
      <c r="M75" s="96"/>
      <c r="N75" s="96"/>
      <c r="P75" s="30"/>
      <c r="Q75" s="30"/>
      <c r="R75" s="30"/>
      <c r="S75" s="30"/>
      <c r="T75" s="30"/>
      <c r="U75" s="30"/>
      <c r="V75" s="30"/>
      <c r="W75" s="30"/>
      <c r="X75" s="30"/>
      <c r="Y75" s="30"/>
      <c r="Z75" s="30"/>
      <c r="AA75" s="30"/>
    </row>
    <row r="76" spans="1:27" x14ac:dyDescent="0.3">
      <c r="A76" t="str">
        <f t="shared" si="18"/>
        <v>GRANTS</v>
      </c>
      <c r="B76" s="95">
        <f t="shared" ref="B76:B85" si="23">SUM(C76:N76)</f>
        <v>0</v>
      </c>
      <c r="C76" s="96"/>
      <c r="D76" s="96"/>
      <c r="E76" s="96"/>
      <c r="F76" s="96"/>
      <c r="G76" s="96"/>
      <c r="H76" s="96"/>
      <c r="I76" s="96"/>
      <c r="J76" s="96"/>
      <c r="K76" s="96"/>
      <c r="L76" s="96"/>
      <c r="M76" s="96"/>
      <c r="N76" s="96"/>
      <c r="P76" s="30"/>
      <c r="Q76" s="30"/>
      <c r="R76" s="30"/>
      <c r="S76" s="30"/>
      <c r="T76" s="30"/>
      <c r="U76" s="30"/>
      <c r="V76" s="30"/>
      <c r="W76" s="30"/>
      <c r="X76" s="30"/>
      <c r="Y76" s="30"/>
      <c r="Z76" s="30"/>
      <c r="AA76" s="30"/>
    </row>
    <row r="77" spans="1:27" x14ac:dyDescent="0.3">
      <c r="A77" t="str">
        <f t="shared" si="18"/>
        <v>TRANSFERS/OTHER</v>
      </c>
      <c r="B77" s="95">
        <f t="shared" si="23"/>
        <v>0</v>
      </c>
      <c r="C77" s="96"/>
      <c r="D77" s="96"/>
      <c r="E77" s="96"/>
      <c r="F77" s="96"/>
      <c r="G77" s="96"/>
      <c r="H77" s="96"/>
      <c r="I77" s="96"/>
      <c r="J77" s="96"/>
      <c r="K77" s="96"/>
      <c r="L77" s="96"/>
      <c r="M77" s="96"/>
      <c r="N77" s="96"/>
      <c r="P77" s="30"/>
      <c r="Q77" s="30"/>
      <c r="R77" s="30"/>
      <c r="S77" s="30"/>
      <c r="T77" s="30"/>
      <c r="U77" s="30"/>
      <c r="V77" s="30"/>
      <c r="W77" s="30"/>
      <c r="X77" s="30"/>
      <c r="Y77" s="30"/>
      <c r="Z77" s="30"/>
      <c r="AA77" s="30"/>
    </row>
    <row r="78" spans="1:27" x14ac:dyDescent="0.3">
      <c r="A78" t="str">
        <f t="shared" si="18"/>
        <v>MTGE/DEED/TAXES/FEES</v>
      </c>
      <c r="B78" s="95">
        <f t="shared" si="23"/>
        <v>15406464</v>
      </c>
      <c r="C78" s="96">
        <v>1003709</v>
      </c>
      <c r="D78" s="96">
        <v>1212467</v>
      </c>
      <c r="E78" s="96">
        <v>1052071</v>
      </c>
      <c r="F78" s="96">
        <v>927382</v>
      </c>
      <c r="G78" s="96">
        <v>1066976</v>
      </c>
      <c r="H78" s="96">
        <v>2512983</v>
      </c>
      <c r="I78" s="96">
        <v>7470</v>
      </c>
      <c r="J78" s="96">
        <v>1855569</v>
      </c>
      <c r="K78" s="96">
        <v>1538588</v>
      </c>
      <c r="L78" s="96">
        <v>1304628</v>
      </c>
      <c r="M78" s="96">
        <v>1711139</v>
      </c>
      <c r="N78" s="96">
        <v>1213482</v>
      </c>
      <c r="P78" s="30"/>
      <c r="Q78" s="30"/>
      <c r="R78" s="30"/>
      <c r="S78" s="30"/>
      <c r="T78" s="30"/>
      <c r="U78" s="30"/>
      <c r="V78" s="30"/>
      <c r="W78" s="30"/>
      <c r="X78" s="30"/>
      <c r="Y78" s="30"/>
      <c r="Z78" s="30"/>
      <c r="AA78" s="30"/>
    </row>
    <row r="79" spans="1:27" x14ac:dyDescent="0.3">
      <c r="A79" t="str">
        <f t="shared" si="18"/>
        <v>DEBT PYMTS</v>
      </c>
      <c r="B79" s="95">
        <f t="shared" si="23"/>
        <v>15908810</v>
      </c>
      <c r="C79" s="96">
        <v>223281</v>
      </c>
      <c r="D79" s="96">
        <v>13642392</v>
      </c>
      <c r="E79" s="96">
        <v>0</v>
      </c>
      <c r="F79" s="96">
        <v>0</v>
      </c>
      <c r="G79" s="96">
        <v>129542</v>
      </c>
      <c r="H79" s="96">
        <v>0</v>
      </c>
      <c r="I79" s="96">
        <v>1881252</v>
      </c>
      <c r="J79" s="96">
        <v>0</v>
      </c>
      <c r="K79" s="96">
        <v>0</v>
      </c>
      <c r="L79" s="96">
        <v>0</v>
      </c>
      <c r="M79" s="96">
        <v>32343</v>
      </c>
      <c r="N79" s="96">
        <v>0</v>
      </c>
      <c r="P79" s="30"/>
      <c r="Q79" s="30"/>
      <c r="R79" s="30"/>
      <c r="S79" s="30"/>
      <c r="T79" s="30"/>
      <c r="U79" s="30"/>
      <c r="V79" s="30"/>
      <c r="W79" s="30"/>
      <c r="X79" s="30"/>
      <c r="Y79" s="30"/>
      <c r="Z79" s="30"/>
      <c r="AA79" s="30"/>
    </row>
    <row r="80" spans="1:27" x14ac:dyDescent="0.3">
      <c r="A80" t="str">
        <f t="shared" ref="A80:A85" si="24">A39</f>
        <v>TAX DISTRIBUTION PYMTS</v>
      </c>
      <c r="B80" s="95">
        <f t="shared" si="23"/>
        <v>386218436</v>
      </c>
      <c r="C80" s="96">
        <v>1406940</v>
      </c>
      <c r="D80" s="96">
        <v>0</v>
      </c>
      <c r="E80" s="96">
        <v>612567</v>
      </c>
      <c r="F80" s="96">
        <v>0</v>
      </c>
      <c r="G80" s="96">
        <v>43425000</v>
      </c>
      <c r="H80" s="96">
        <v>72978000</v>
      </c>
      <c r="I80" s="96">
        <v>92095084</v>
      </c>
      <c r="J80" s="96">
        <v>0</v>
      </c>
      <c r="K80" s="96">
        <v>0</v>
      </c>
      <c r="L80" s="96">
        <v>38382000</v>
      </c>
      <c r="M80" s="96">
        <v>137318845</v>
      </c>
      <c r="N80" s="96">
        <v>0</v>
      </c>
      <c r="P80" s="30"/>
      <c r="Q80" s="30"/>
      <c r="R80" s="30"/>
      <c r="S80" s="30"/>
      <c r="T80" s="30"/>
      <c r="U80" s="30"/>
      <c r="V80" s="30"/>
      <c r="W80" s="30"/>
      <c r="X80" s="30"/>
      <c r="Y80" s="30"/>
      <c r="Z80" s="30"/>
      <c r="AA80" s="30"/>
    </row>
    <row r="81" spans="1:27" x14ac:dyDescent="0.3">
      <c r="A81" t="str">
        <f t="shared" si="24"/>
        <v xml:space="preserve">INVESTMENT PURCHASES </v>
      </c>
      <c r="B81" s="95">
        <f t="shared" si="23"/>
        <v>-112132631.13</v>
      </c>
      <c r="C81" s="96">
        <v>-19961168.48</v>
      </c>
      <c r="D81" s="96">
        <v>-10000000</v>
      </c>
      <c r="E81" s="96">
        <v>-3000000</v>
      </c>
      <c r="F81" s="96">
        <v>-10000000</v>
      </c>
      <c r="G81" s="96">
        <v>-12214739.609999999</v>
      </c>
      <c r="H81" s="96">
        <v>-21916518.07</v>
      </c>
      <c r="I81" s="96">
        <v>-7975675</v>
      </c>
      <c r="J81" s="96">
        <v>-1147610.97</v>
      </c>
      <c r="K81" s="96">
        <v>0</v>
      </c>
      <c r="L81" s="96">
        <v>-18080450.109999999</v>
      </c>
      <c r="M81" s="96"/>
      <c r="N81" s="96">
        <v>-7836468.8899999997</v>
      </c>
      <c r="P81" s="30"/>
      <c r="Q81" s="30"/>
      <c r="R81" s="30"/>
      <c r="S81" s="30"/>
      <c r="T81" s="30"/>
      <c r="U81" s="30"/>
      <c r="V81" s="30"/>
      <c r="W81" s="30"/>
      <c r="X81" s="30"/>
      <c r="Y81" s="30"/>
      <c r="Z81" s="30"/>
      <c r="AA81" s="30"/>
    </row>
    <row r="82" spans="1:27" x14ac:dyDescent="0.3">
      <c r="A82" t="str">
        <f t="shared" si="24"/>
        <v>OTHER EXPENSES/USES</v>
      </c>
      <c r="B82" s="95">
        <f t="shared" si="23"/>
        <v>0</v>
      </c>
      <c r="C82" s="96"/>
      <c r="D82" s="96"/>
      <c r="E82" s="96"/>
      <c r="F82" s="96"/>
      <c r="G82" s="96"/>
      <c r="H82" s="96"/>
      <c r="I82" s="96"/>
      <c r="J82" s="96"/>
      <c r="K82" s="96"/>
      <c r="L82" s="96"/>
      <c r="M82" s="96"/>
      <c r="N82" s="96"/>
      <c r="P82" s="30"/>
      <c r="Q82" s="30"/>
      <c r="R82" s="30"/>
      <c r="S82" s="30"/>
      <c r="T82" s="30"/>
      <c r="U82" s="30"/>
      <c r="V82" s="30"/>
      <c r="W82" s="30"/>
      <c r="X82" s="30"/>
      <c r="Y82" s="30"/>
      <c r="Z82" s="30"/>
      <c r="AA82" s="30"/>
    </row>
    <row r="83" spans="1:27" x14ac:dyDescent="0.3">
      <c r="A83" t="str">
        <f t="shared" si="24"/>
        <v>OTHER EXPENSES/USES</v>
      </c>
      <c r="B83" s="95">
        <f t="shared" si="23"/>
        <v>0</v>
      </c>
      <c r="C83" s="96"/>
      <c r="D83" s="96"/>
      <c r="E83" s="96"/>
      <c r="F83" s="96"/>
      <c r="G83" s="96"/>
      <c r="H83" s="96"/>
      <c r="I83" s="96"/>
      <c r="J83" s="96"/>
      <c r="K83" s="96"/>
      <c r="L83" s="96"/>
      <c r="M83" s="96"/>
      <c r="N83" s="96"/>
      <c r="P83" s="30"/>
      <c r="Q83" s="30"/>
      <c r="R83" s="30"/>
      <c r="S83" s="30"/>
      <c r="T83" s="30"/>
      <c r="U83" s="30"/>
      <c r="V83" s="30"/>
      <c r="W83" s="30"/>
      <c r="X83" s="30"/>
      <c r="Y83" s="30"/>
      <c r="Z83" s="30"/>
      <c r="AA83" s="30"/>
    </row>
    <row r="84" spans="1:27" x14ac:dyDescent="0.3">
      <c r="A84" t="str">
        <f t="shared" si="24"/>
        <v>OTHER EXPENSES/USES</v>
      </c>
      <c r="B84" s="95">
        <f t="shared" si="23"/>
        <v>0</v>
      </c>
      <c r="C84" s="96"/>
      <c r="D84" s="96"/>
      <c r="E84" s="96"/>
      <c r="F84" s="96"/>
      <c r="G84" s="96"/>
      <c r="H84" s="96"/>
      <c r="I84" s="96"/>
      <c r="J84" s="96"/>
      <c r="K84" s="96"/>
      <c r="L84" s="96"/>
      <c r="M84" s="96"/>
      <c r="N84" s="96"/>
      <c r="P84" s="30"/>
      <c r="Q84" s="30"/>
      <c r="R84" s="30"/>
      <c r="S84" s="30"/>
      <c r="T84" s="30"/>
      <c r="U84" s="30"/>
      <c r="V84" s="30"/>
      <c r="W84" s="30"/>
      <c r="X84" s="30"/>
      <c r="Y84" s="30"/>
      <c r="Z84" s="30"/>
      <c r="AA84" s="30"/>
    </row>
    <row r="85" spans="1:27" x14ac:dyDescent="0.3">
      <c r="A85" t="str">
        <f t="shared" si="24"/>
        <v>OTHER NON-RECURRING USES</v>
      </c>
      <c r="B85" s="95">
        <f t="shared" si="23"/>
        <v>0</v>
      </c>
      <c r="C85" s="96"/>
      <c r="D85" s="96"/>
      <c r="E85" s="96"/>
      <c r="F85" s="96"/>
      <c r="G85" s="96"/>
      <c r="H85" s="96"/>
      <c r="I85" s="96"/>
      <c r="J85" s="96"/>
      <c r="K85" s="96"/>
      <c r="L85" s="96"/>
      <c r="M85" s="96"/>
      <c r="N85" s="96"/>
      <c r="P85" s="30"/>
      <c r="Q85" s="30"/>
      <c r="R85" s="30"/>
      <c r="S85" s="30"/>
      <c r="T85" s="30"/>
      <c r="U85" s="30"/>
      <c r="V85" s="30"/>
      <c r="W85" s="30"/>
      <c r="X85" s="30"/>
      <c r="Y85" s="30"/>
      <c r="Z85" s="30"/>
      <c r="AA85" s="30"/>
    </row>
    <row r="86" spans="1:27" x14ac:dyDescent="0.3">
      <c r="A86" s="35" t="s">
        <v>9</v>
      </c>
      <c r="B86" s="97">
        <f>SUM(B69:B85)</f>
        <v>721291596.87</v>
      </c>
      <c r="C86" s="97">
        <f t="shared" ref="C86" si="25">SUM(C69:C85)</f>
        <v>15203488.52</v>
      </c>
      <c r="D86" s="97">
        <f t="shared" ref="D86" si="26">SUM(D69:D85)</f>
        <v>30900308</v>
      </c>
      <c r="E86" s="97">
        <f t="shared" ref="E86" si="27">SUM(E69:E85)</f>
        <v>25288022</v>
      </c>
      <c r="F86" s="97">
        <f t="shared" ref="F86" si="28">SUM(F69:F85)</f>
        <v>19517911</v>
      </c>
      <c r="G86" s="97">
        <f t="shared" ref="G86" si="29">SUM(G69:G85)</f>
        <v>59406894.390000001</v>
      </c>
      <c r="H86" s="97">
        <f t="shared" ref="H86" si="30">SUM(H69:H85)</f>
        <v>118119592.93000001</v>
      </c>
      <c r="I86" s="97">
        <f t="shared" ref="I86" si="31">SUM(I69:I85)</f>
        <v>116732965</v>
      </c>
      <c r="J86" s="97">
        <f t="shared" ref="J86" si="32">SUM(J69:J85)</f>
        <v>33996492.030000001</v>
      </c>
      <c r="K86" s="97">
        <f t="shared" ref="K86" si="33">SUM(K69:K85)</f>
        <v>28700729</v>
      </c>
      <c r="L86" s="97">
        <f t="shared" ref="L86" si="34">SUM(L69:L85)</f>
        <v>49963716.890000001</v>
      </c>
      <c r="M86" s="97">
        <f t="shared" ref="M86" si="35">SUM(M69:M85)</f>
        <v>207019209</v>
      </c>
      <c r="N86" s="97">
        <f t="shared" ref="N86" si="36">SUM(N69:N85)</f>
        <v>16442268.109999999</v>
      </c>
    </row>
    <row r="87" spans="1:27" ht="15" thickBot="1" x14ac:dyDescent="0.35">
      <c r="A87" s="36" t="s">
        <v>10</v>
      </c>
      <c r="B87" s="100">
        <f t="shared" ref="B87:N87" si="37">B67-B86</f>
        <v>221789079.13</v>
      </c>
      <c r="C87" s="100">
        <f t="shared" si="37"/>
        <v>32294147.48</v>
      </c>
      <c r="D87" s="100">
        <f t="shared" si="37"/>
        <v>-4012549</v>
      </c>
      <c r="E87" s="100">
        <f t="shared" si="37"/>
        <v>3563384</v>
      </c>
      <c r="F87" s="100">
        <f t="shared" si="37"/>
        <v>114578936</v>
      </c>
      <c r="G87" s="100">
        <f t="shared" si="37"/>
        <v>104761675.61</v>
      </c>
      <c r="H87" s="100">
        <f t="shared" si="37"/>
        <v>-24191098.930000007</v>
      </c>
      <c r="I87" s="100">
        <f t="shared" si="37"/>
        <v>-75000382</v>
      </c>
      <c r="J87" s="100">
        <f t="shared" si="37"/>
        <v>1779481.9699999988</v>
      </c>
      <c r="K87" s="100">
        <f t="shared" si="37"/>
        <v>30022510</v>
      </c>
      <c r="L87" s="100">
        <f t="shared" si="37"/>
        <v>147325470.11000001</v>
      </c>
      <c r="M87" s="100">
        <f t="shared" si="37"/>
        <v>-119423585</v>
      </c>
      <c r="N87" s="100">
        <f t="shared" si="37"/>
        <v>10091088.890000001</v>
      </c>
    </row>
    <row r="88" spans="1:27" x14ac:dyDescent="0.3">
      <c r="A88" s="32" t="s">
        <v>166</v>
      </c>
      <c r="B88" s="32"/>
      <c r="C88" s="37"/>
      <c r="D88" s="37"/>
      <c r="E88" s="37"/>
      <c r="F88" s="37"/>
      <c r="G88" s="37"/>
      <c r="H88" s="37"/>
      <c r="I88" s="37"/>
      <c r="J88" s="37"/>
      <c r="K88" s="37"/>
      <c r="L88" s="37"/>
      <c r="M88" s="37"/>
      <c r="N88" s="37"/>
    </row>
    <row r="89" spans="1:27" ht="15" thickBot="1" x14ac:dyDescent="0.35">
      <c r="B89" s="34" t="str">
        <f>CONCATENATE("TOTAL-",RIGHT(B2,4))</f>
        <v>TOTAL-2025</v>
      </c>
      <c r="C89" s="34" t="str">
        <f>VLOOKUP($B$2,'5-FY Table'!$B$2:$N$37,2,FALSE)</f>
        <v>JUL-2024</v>
      </c>
      <c r="D89" s="34" t="str">
        <f>VLOOKUP($B$2,'5-FY Table'!$B$2:$N$37,3,FALSE)</f>
        <v>AUG-2024</v>
      </c>
      <c r="E89" s="34" t="str">
        <f>VLOOKUP($B$2,'5-FY Table'!$B$2:$N$37,4,FALSE)</f>
        <v>SEP-2024</v>
      </c>
      <c r="F89" s="34" t="str">
        <f>VLOOKUP($B$2,'5-FY Table'!$B$2:$N$37,5,FALSE)</f>
        <v>OCT-2024</v>
      </c>
      <c r="G89" s="34" t="str">
        <f>VLOOKUP($B$2,'5-FY Table'!$B$2:$N$37,6,FALSE)</f>
        <v>NOV-2024</v>
      </c>
      <c r="H89" s="34" t="str">
        <f>VLOOKUP($B$2,'5-FY Table'!$B$2:$N$37,7,FALSE)</f>
        <v>DEC-2024</v>
      </c>
      <c r="I89" s="34" t="str">
        <f>VLOOKUP($B$2,'5-FY Table'!$B$2:$N$37,8,FALSE)</f>
        <v>JAN-2025</v>
      </c>
      <c r="J89" s="34" t="str">
        <f>VLOOKUP($B$2,'5-FY Table'!$B$2:$N$37,9,FALSE)</f>
        <v>FEB-2025</v>
      </c>
      <c r="K89" s="34" t="str">
        <f>VLOOKUP($B$2,'5-FY Table'!$B$2:$N$37,10,FALSE)</f>
        <v>MAR-2025</v>
      </c>
      <c r="L89" s="34" t="str">
        <f>VLOOKUP($B$2,'5-FY Table'!$B$2:$N$37,11,FALSE)</f>
        <v>APR-2025</v>
      </c>
      <c r="M89" s="34" t="str">
        <f>VLOOKUP($B$2,'5-FY Table'!$B$2:$N$37,12,FALSE)</f>
        <v>MAY-2025</v>
      </c>
      <c r="N89" s="34" t="str">
        <f>VLOOKUP($B$2,'5-FY Table'!$B$2:$N$37,13,FALSE)</f>
        <v>JUN-2025</v>
      </c>
    </row>
    <row r="90" spans="1:27" ht="15" thickBot="1" x14ac:dyDescent="0.35">
      <c r="A90" s="37"/>
      <c r="B90" s="74" t="s">
        <v>154</v>
      </c>
      <c r="C90" s="115">
        <v>2</v>
      </c>
      <c r="D90" s="115">
        <v>2</v>
      </c>
      <c r="E90" s="115">
        <v>2</v>
      </c>
      <c r="F90" s="115">
        <v>2</v>
      </c>
      <c r="G90" s="115">
        <v>3</v>
      </c>
      <c r="H90" s="115">
        <v>2</v>
      </c>
      <c r="I90" s="115">
        <v>2</v>
      </c>
      <c r="J90" s="115">
        <v>2</v>
      </c>
      <c r="K90" s="115">
        <v>2</v>
      </c>
      <c r="L90" s="115">
        <v>3</v>
      </c>
      <c r="M90" s="115">
        <v>2</v>
      </c>
      <c r="N90" s="115">
        <v>2</v>
      </c>
      <c r="O90" s="117">
        <f>SUM(C90:N90)</f>
        <v>26</v>
      </c>
      <c r="P90" s="32" t="s">
        <v>135</v>
      </c>
      <c r="Q90" s="37"/>
      <c r="R90" s="37"/>
    </row>
    <row r="91" spans="1:27" x14ac:dyDescent="0.3">
      <c r="A91" s="37"/>
      <c r="B91" s="74" t="s">
        <v>134</v>
      </c>
      <c r="C91" s="118">
        <f>(C90/SUM($C$90:$N$90))</f>
        <v>7.6923076923076927E-2</v>
      </c>
      <c r="D91" s="118">
        <f t="shared" ref="D91:N91" si="38">(D90/SUM($C$90:$N$90))</f>
        <v>7.6923076923076927E-2</v>
      </c>
      <c r="E91" s="118">
        <f t="shared" si="38"/>
        <v>7.6923076923076927E-2</v>
      </c>
      <c r="F91" s="118">
        <f t="shared" si="38"/>
        <v>7.6923076923076927E-2</v>
      </c>
      <c r="G91" s="118">
        <f t="shared" si="38"/>
        <v>0.11538461538461539</v>
      </c>
      <c r="H91" s="118">
        <f t="shared" si="38"/>
        <v>7.6923076923076927E-2</v>
      </c>
      <c r="I91" s="118">
        <f t="shared" si="38"/>
        <v>7.6923076923076927E-2</v>
      </c>
      <c r="J91" s="118">
        <f t="shared" si="38"/>
        <v>7.6923076923076927E-2</v>
      </c>
      <c r="K91" s="118">
        <f t="shared" si="38"/>
        <v>7.6923076923076927E-2</v>
      </c>
      <c r="L91" s="118">
        <f t="shared" si="38"/>
        <v>0.11538461538461539</v>
      </c>
      <c r="M91" s="118">
        <f t="shared" si="38"/>
        <v>7.6923076923076927E-2</v>
      </c>
      <c r="N91" s="118">
        <f t="shared" si="38"/>
        <v>7.6923076923076927E-2</v>
      </c>
      <c r="O91" s="119">
        <f>SUM(C91:N91)</f>
        <v>0.99999999999999978</v>
      </c>
      <c r="P91" s="32" t="s">
        <v>136</v>
      </c>
      <c r="Q91" s="37"/>
      <c r="R91" s="37"/>
    </row>
    <row r="92" spans="1:27" x14ac:dyDescent="0.3">
      <c r="A92" s="7" t="s">
        <v>6</v>
      </c>
      <c r="B92" s="7"/>
    </row>
    <row r="93" spans="1:27" x14ac:dyDescent="0.3">
      <c r="A93" t="str">
        <f t="shared" ref="A93:A109" si="39">A9</f>
        <v>PROPERTY TAX</v>
      </c>
      <c r="B93" s="96">
        <v>553918994</v>
      </c>
      <c r="C93" s="101">
        <f t="shared" ref="C93:N93" si="40">IFERROR((+C9+C50)/(+$B9+$B50)*$B93,0)</f>
        <v>3736996.5840561036</v>
      </c>
      <c r="D93" s="101">
        <f t="shared" si="40"/>
        <v>1967494.0796100977</v>
      </c>
      <c r="E93" s="101">
        <f t="shared" si="40"/>
        <v>8716273.4906834941</v>
      </c>
      <c r="F93" s="101">
        <f t="shared" si="40"/>
        <v>121025500.12074737</v>
      </c>
      <c r="G93" s="101">
        <f t="shared" si="40"/>
        <v>152310223.47702205</v>
      </c>
      <c r="H93" s="101">
        <f t="shared" si="40"/>
        <v>5758162.1952686682</v>
      </c>
      <c r="I93" s="101">
        <f t="shared" si="40"/>
        <v>4226393.3894069279</v>
      </c>
      <c r="J93" s="101">
        <f t="shared" si="40"/>
        <v>5523189.450137184</v>
      </c>
      <c r="K93" s="101">
        <f t="shared" si="40"/>
        <v>46558764.574297406</v>
      </c>
      <c r="L93" s="101">
        <f t="shared" si="40"/>
        <v>193518335.67282352</v>
      </c>
      <c r="M93" s="101">
        <f t="shared" si="40"/>
        <v>6043653.7899491796</v>
      </c>
      <c r="N93" s="101">
        <f t="shared" si="40"/>
        <v>4534007.1759979762</v>
      </c>
      <c r="P93" s="5"/>
    </row>
    <row r="94" spans="1:27" x14ac:dyDescent="0.3">
      <c r="A94" t="str">
        <f t="shared" si="39"/>
        <v>SALES &amp; USE TAX</v>
      </c>
      <c r="B94" s="96"/>
      <c r="C94" s="101">
        <f t="shared" ref="C94:N94" si="41">IFERROR((+C10+C51)/(+$B10+$B51)*$B94,0)</f>
        <v>0</v>
      </c>
      <c r="D94" s="101">
        <f t="shared" si="41"/>
        <v>0</v>
      </c>
      <c r="E94" s="101">
        <f t="shared" si="41"/>
        <v>0</v>
      </c>
      <c r="F94" s="101">
        <f t="shared" si="41"/>
        <v>0</v>
      </c>
      <c r="G94" s="101">
        <f t="shared" si="41"/>
        <v>0</v>
      </c>
      <c r="H94" s="101">
        <f t="shared" si="41"/>
        <v>0</v>
      </c>
      <c r="I94" s="101">
        <f t="shared" si="41"/>
        <v>0</v>
      </c>
      <c r="J94" s="101">
        <f t="shared" si="41"/>
        <v>0</v>
      </c>
      <c r="K94" s="101">
        <f t="shared" si="41"/>
        <v>0</v>
      </c>
      <c r="L94" s="101">
        <f t="shared" si="41"/>
        <v>0</v>
      </c>
      <c r="M94" s="101">
        <f t="shared" si="41"/>
        <v>0</v>
      </c>
      <c r="N94" s="101">
        <f t="shared" si="41"/>
        <v>0</v>
      </c>
    </row>
    <row r="95" spans="1:27" x14ac:dyDescent="0.3">
      <c r="A95" t="str">
        <f t="shared" si="39"/>
        <v>FEES &amp; PERMITS</v>
      </c>
      <c r="B95" s="96">
        <v>0</v>
      </c>
      <c r="C95" s="101">
        <f t="shared" ref="C95:N95" si="42">IFERROR((+C11+C52)/(+$B11+$B52)*$B95,0)</f>
        <v>0</v>
      </c>
      <c r="D95" s="101">
        <f t="shared" si="42"/>
        <v>0</v>
      </c>
      <c r="E95" s="101">
        <f t="shared" si="42"/>
        <v>0</v>
      </c>
      <c r="F95" s="101">
        <f t="shared" si="42"/>
        <v>0</v>
      </c>
      <c r="G95" s="101">
        <f t="shared" si="42"/>
        <v>0</v>
      </c>
      <c r="H95" s="101">
        <f t="shared" si="42"/>
        <v>0</v>
      </c>
      <c r="I95" s="101">
        <f t="shared" si="42"/>
        <v>0</v>
      </c>
      <c r="J95" s="101">
        <f t="shared" si="42"/>
        <v>0</v>
      </c>
      <c r="K95" s="101">
        <f t="shared" si="42"/>
        <v>0</v>
      </c>
      <c r="L95" s="101">
        <f t="shared" si="42"/>
        <v>0</v>
      </c>
      <c r="M95" s="101">
        <f t="shared" si="42"/>
        <v>0</v>
      </c>
      <c r="N95" s="101">
        <f t="shared" si="42"/>
        <v>0</v>
      </c>
    </row>
    <row r="96" spans="1:27" x14ac:dyDescent="0.3">
      <c r="A96" t="str">
        <f t="shared" si="39"/>
        <v>FISCAL DISPARITIES</v>
      </c>
      <c r="B96" s="96">
        <v>102628560</v>
      </c>
      <c r="C96" s="101">
        <f t="shared" ref="C96:N96" si="43">IFERROR((+C12+C53)/(+$B12+$B53)*$B96,0)</f>
        <v>0</v>
      </c>
      <c r="D96" s="101">
        <f t="shared" si="43"/>
        <v>0</v>
      </c>
      <c r="E96" s="101">
        <f t="shared" si="43"/>
        <v>0</v>
      </c>
      <c r="F96" s="101">
        <f t="shared" si="43"/>
        <v>0</v>
      </c>
      <c r="G96" s="101">
        <f t="shared" si="43"/>
        <v>0</v>
      </c>
      <c r="H96" s="101">
        <f t="shared" si="43"/>
        <v>50085130.10097789</v>
      </c>
      <c r="I96" s="101">
        <f t="shared" si="43"/>
        <v>1229152.5120708353</v>
      </c>
      <c r="J96" s="101">
        <f t="shared" si="43"/>
        <v>0</v>
      </c>
      <c r="K96" s="101">
        <f t="shared" si="43"/>
        <v>0</v>
      </c>
      <c r="L96" s="101">
        <f t="shared" si="43"/>
        <v>0</v>
      </c>
      <c r="M96" s="101">
        <f t="shared" si="43"/>
        <v>51314277.386951275</v>
      </c>
      <c r="N96" s="101">
        <f t="shared" si="43"/>
        <v>0</v>
      </c>
    </row>
    <row r="97" spans="1:27" x14ac:dyDescent="0.3">
      <c r="A97" t="str">
        <f t="shared" si="39"/>
        <v>BUSINESS LICENSE TAXES</v>
      </c>
      <c r="B97" s="96">
        <v>0</v>
      </c>
      <c r="C97" s="101">
        <f t="shared" ref="C97:N97" si="44">IFERROR((+C13+C54)/(+$B13+$B54)*$B97,0)</f>
        <v>0</v>
      </c>
      <c r="D97" s="101">
        <f t="shared" si="44"/>
        <v>0</v>
      </c>
      <c r="E97" s="101">
        <f t="shared" si="44"/>
        <v>0</v>
      </c>
      <c r="F97" s="101">
        <f t="shared" si="44"/>
        <v>0</v>
      </c>
      <c r="G97" s="101">
        <f t="shared" si="44"/>
        <v>0</v>
      </c>
      <c r="H97" s="101">
        <f t="shared" si="44"/>
        <v>0</v>
      </c>
      <c r="I97" s="101">
        <f t="shared" si="44"/>
        <v>0</v>
      </c>
      <c r="J97" s="101">
        <f t="shared" si="44"/>
        <v>0</v>
      </c>
      <c r="K97" s="101">
        <f t="shared" si="44"/>
        <v>0</v>
      </c>
      <c r="L97" s="101">
        <f t="shared" si="44"/>
        <v>0</v>
      </c>
      <c r="M97" s="101">
        <f t="shared" si="44"/>
        <v>0</v>
      </c>
      <c r="N97" s="101">
        <f t="shared" si="44"/>
        <v>0</v>
      </c>
    </row>
    <row r="98" spans="1:27" x14ac:dyDescent="0.3">
      <c r="A98" t="str">
        <f t="shared" si="39"/>
        <v>INTRAGOVT SVC CHARGES</v>
      </c>
      <c r="B98" s="96"/>
      <c r="C98" s="101">
        <f t="shared" ref="C98:N98" si="45">IFERROR((+C14+C55)/(+$B14+$B55)*$B98,0)</f>
        <v>0</v>
      </c>
      <c r="D98" s="101">
        <f t="shared" si="45"/>
        <v>0</v>
      </c>
      <c r="E98" s="101">
        <f t="shared" si="45"/>
        <v>0</v>
      </c>
      <c r="F98" s="101">
        <f t="shared" si="45"/>
        <v>0</v>
      </c>
      <c r="G98" s="101">
        <f t="shared" si="45"/>
        <v>0</v>
      </c>
      <c r="H98" s="101">
        <f t="shared" si="45"/>
        <v>0</v>
      </c>
      <c r="I98" s="101">
        <f t="shared" si="45"/>
        <v>0</v>
      </c>
      <c r="J98" s="101">
        <f t="shared" si="45"/>
        <v>0</v>
      </c>
      <c r="K98" s="101">
        <f t="shared" si="45"/>
        <v>0</v>
      </c>
      <c r="L98" s="101">
        <f t="shared" si="45"/>
        <v>0</v>
      </c>
      <c r="M98" s="101">
        <f t="shared" si="45"/>
        <v>0</v>
      </c>
      <c r="N98" s="101">
        <f t="shared" si="45"/>
        <v>0</v>
      </c>
    </row>
    <row r="99" spans="1:27" x14ac:dyDescent="0.3">
      <c r="A99" t="str">
        <f t="shared" si="39"/>
        <v>INTERGOVT REVENUES</v>
      </c>
      <c r="B99" s="96">
        <v>246121980</v>
      </c>
      <c r="C99" s="101">
        <f t="shared" ref="C99:N99" si="46">IFERROR((+C15+C56)/(+$B15+$B56)*$B99,0)</f>
        <v>16042099.002231546</v>
      </c>
      <c r="D99" s="101">
        <f t="shared" si="46"/>
        <v>26282071.890759166</v>
      </c>
      <c r="E99" s="101">
        <f t="shared" si="46"/>
        <v>18638063.716893692</v>
      </c>
      <c r="F99" s="101">
        <f t="shared" si="46"/>
        <v>14873395.464685407</v>
      </c>
      <c r="G99" s="101">
        <f t="shared" si="46"/>
        <v>23405363.124759287</v>
      </c>
      <c r="H99" s="101">
        <f t="shared" si="46"/>
        <v>20515969.464479052</v>
      </c>
      <c r="I99" s="101">
        <f t="shared" si="46"/>
        <v>30403774.195256256</v>
      </c>
      <c r="J99" s="101">
        <f t="shared" si="46"/>
        <v>22787889.858159047</v>
      </c>
      <c r="K99" s="101">
        <f t="shared" si="46"/>
        <v>14585039.146321388</v>
      </c>
      <c r="L99" s="101">
        <f t="shared" si="46"/>
        <v>15558530.199929828</v>
      </c>
      <c r="M99" s="101">
        <f t="shared" si="46"/>
        <v>21148308.553167261</v>
      </c>
      <c r="N99" s="101">
        <f t="shared" si="46"/>
        <v>21881475.383358072</v>
      </c>
    </row>
    <row r="100" spans="1:27" x14ac:dyDescent="0.3">
      <c r="A100" t="str">
        <f t="shared" si="39"/>
        <v>REIMBURSEMENTS</v>
      </c>
      <c r="B100" s="96">
        <v>0</v>
      </c>
      <c r="C100" s="101">
        <f t="shared" ref="C100:N100" si="47">IFERROR((+C16+C57)/(+$B16+$B57)*$B100,0)</f>
        <v>0</v>
      </c>
      <c r="D100" s="101">
        <f t="shared" si="47"/>
        <v>0</v>
      </c>
      <c r="E100" s="101">
        <f t="shared" si="47"/>
        <v>0</v>
      </c>
      <c r="F100" s="101">
        <f t="shared" si="47"/>
        <v>0</v>
      </c>
      <c r="G100" s="101">
        <f t="shared" si="47"/>
        <v>0</v>
      </c>
      <c r="H100" s="101">
        <f t="shared" si="47"/>
        <v>0</v>
      </c>
      <c r="I100" s="101">
        <f t="shared" si="47"/>
        <v>0</v>
      </c>
      <c r="J100" s="101">
        <f t="shared" si="47"/>
        <v>0</v>
      </c>
      <c r="K100" s="101">
        <f t="shared" si="47"/>
        <v>0</v>
      </c>
      <c r="L100" s="101">
        <f t="shared" si="47"/>
        <v>0</v>
      </c>
      <c r="M100" s="101">
        <f t="shared" si="47"/>
        <v>0</v>
      </c>
      <c r="N100" s="101">
        <f t="shared" si="47"/>
        <v>0</v>
      </c>
    </row>
    <row r="101" spans="1:27" x14ac:dyDescent="0.3">
      <c r="A101" t="str">
        <f t="shared" si="39"/>
        <v>DONATIONS/CONTRIBS/ INV INCOME</v>
      </c>
      <c r="B101" s="96">
        <v>5674163</v>
      </c>
      <c r="C101" s="101">
        <f t="shared" ref="C101:N101" si="48">IFERROR((+C17+C58)/(+$B17+$B58)*$B101,0)</f>
        <v>438283.55356736534</v>
      </c>
      <c r="D101" s="101">
        <f t="shared" si="48"/>
        <v>626910.24608327658</v>
      </c>
      <c r="E101" s="101">
        <f t="shared" si="48"/>
        <v>263528.67706140754</v>
      </c>
      <c r="F101" s="101">
        <f t="shared" si="48"/>
        <v>249816.73960885688</v>
      </c>
      <c r="G101" s="101">
        <f t="shared" si="48"/>
        <v>332111.20411807555</v>
      </c>
      <c r="H101" s="101">
        <f t="shared" si="48"/>
        <v>515963.93186671956</v>
      </c>
      <c r="I101" s="101">
        <f t="shared" si="48"/>
        <v>468538.21940059954</v>
      </c>
      <c r="J101" s="101">
        <f t="shared" si="48"/>
        <v>757907.6601614526</v>
      </c>
      <c r="K101" s="101">
        <f t="shared" si="48"/>
        <v>303316.94157809258</v>
      </c>
      <c r="L101" s="101">
        <f t="shared" si="48"/>
        <v>370372.78515524708</v>
      </c>
      <c r="M101" s="101">
        <f t="shared" si="48"/>
        <v>646455.73560509784</v>
      </c>
      <c r="N101" s="101">
        <f t="shared" si="48"/>
        <v>700957.30579380912</v>
      </c>
    </row>
    <row r="102" spans="1:27" x14ac:dyDescent="0.3">
      <c r="A102" t="str">
        <f t="shared" si="39"/>
        <v>FINES &amp; FORFEITURES</v>
      </c>
      <c r="B102" s="96">
        <v>0</v>
      </c>
      <c r="C102" s="101">
        <f t="shared" ref="C102:N102" si="49">IFERROR((+C18+C59)/(+$B18+$B59)*$B102,0)</f>
        <v>0</v>
      </c>
      <c r="D102" s="101">
        <f t="shared" si="49"/>
        <v>0</v>
      </c>
      <c r="E102" s="101">
        <f t="shared" si="49"/>
        <v>0</v>
      </c>
      <c r="F102" s="101">
        <f t="shared" si="49"/>
        <v>0</v>
      </c>
      <c r="G102" s="101">
        <f t="shared" si="49"/>
        <v>0</v>
      </c>
      <c r="H102" s="101">
        <f t="shared" si="49"/>
        <v>0</v>
      </c>
      <c r="I102" s="101">
        <f t="shared" si="49"/>
        <v>0</v>
      </c>
      <c r="J102" s="101">
        <f t="shared" si="49"/>
        <v>0</v>
      </c>
      <c r="K102" s="101">
        <f t="shared" si="49"/>
        <v>0</v>
      </c>
      <c r="L102" s="101">
        <f t="shared" si="49"/>
        <v>0</v>
      </c>
      <c r="M102" s="101">
        <f t="shared" si="49"/>
        <v>0</v>
      </c>
      <c r="N102" s="101">
        <f t="shared" si="49"/>
        <v>0</v>
      </c>
    </row>
    <row r="103" spans="1:27" x14ac:dyDescent="0.3">
      <c r="A103" t="str">
        <f t="shared" si="39"/>
        <v>USE OF MONEY &amp; PROPERTY</v>
      </c>
      <c r="B103" s="96">
        <v>0</v>
      </c>
      <c r="C103" s="101">
        <f t="shared" ref="C103:N103" si="50">IFERROR((+C19+C60)/(+$B19+$B60)*$B103,0)</f>
        <v>0</v>
      </c>
      <c r="D103" s="101">
        <f t="shared" si="50"/>
        <v>0</v>
      </c>
      <c r="E103" s="101">
        <f t="shared" si="50"/>
        <v>0</v>
      </c>
      <c r="F103" s="101">
        <f t="shared" si="50"/>
        <v>0</v>
      </c>
      <c r="G103" s="101">
        <f t="shared" si="50"/>
        <v>0</v>
      </c>
      <c r="H103" s="101">
        <f t="shared" si="50"/>
        <v>0</v>
      </c>
      <c r="I103" s="101">
        <f t="shared" si="50"/>
        <v>0</v>
      </c>
      <c r="J103" s="101">
        <f t="shared" si="50"/>
        <v>0</v>
      </c>
      <c r="K103" s="101">
        <f t="shared" si="50"/>
        <v>0</v>
      </c>
      <c r="L103" s="101">
        <f t="shared" si="50"/>
        <v>0</v>
      </c>
      <c r="M103" s="101">
        <f t="shared" si="50"/>
        <v>0</v>
      </c>
      <c r="N103" s="101">
        <f t="shared" si="50"/>
        <v>0</v>
      </c>
    </row>
    <row r="104" spans="1:27" x14ac:dyDescent="0.3">
      <c r="A104" t="str">
        <f t="shared" si="39"/>
        <v>OTHER SOURCES / INV MATURITIES</v>
      </c>
      <c r="B104" s="96">
        <v>0</v>
      </c>
      <c r="C104" s="101">
        <f t="shared" ref="C104:N104" si="51">IFERROR((+C20+C61)/(+$B20+$B61)*$B104,0)</f>
        <v>0</v>
      </c>
      <c r="D104" s="101">
        <f t="shared" si="51"/>
        <v>0</v>
      </c>
      <c r="E104" s="101">
        <f t="shared" si="51"/>
        <v>0</v>
      </c>
      <c r="F104" s="101">
        <f t="shared" si="51"/>
        <v>0</v>
      </c>
      <c r="G104" s="101">
        <f t="shared" si="51"/>
        <v>0</v>
      </c>
      <c r="H104" s="101">
        <f t="shared" si="51"/>
        <v>0</v>
      </c>
      <c r="I104" s="101">
        <f t="shared" si="51"/>
        <v>0</v>
      </c>
      <c r="J104" s="101">
        <f t="shared" si="51"/>
        <v>0</v>
      </c>
      <c r="K104" s="101">
        <f t="shared" si="51"/>
        <v>0</v>
      </c>
      <c r="L104" s="101">
        <f t="shared" si="51"/>
        <v>0</v>
      </c>
      <c r="M104" s="101">
        <f t="shared" si="51"/>
        <v>0</v>
      </c>
      <c r="N104" s="101">
        <f t="shared" si="51"/>
        <v>0</v>
      </c>
    </row>
    <row r="105" spans="1:27" x14ac:dyDescent="0.3">
      <c r="A105" t="str">
        <f t="shared" si="39"/>
        <v>TRANSIT TAX</v>
      </c>
      <c r="B105" s="96">
        <v>12000000</v>
      </c>
      <c r="C105" s="101">
        <f t="shared" ref="C105:N105" si="52">IFERROR((+C21+C62)/(+$B21+$B62)*$B105,0)</f>
        <v>1009131.8033927582</v>
      </c>
      <c r="D105" s="101">
        <f t="shared" si="52"/>
        <v>1022769.554047266</v>
      </c>
      <c r="E105" s="101">
        <f t="shared" si="52"/>
        <v>889997.9578856834</v>
      </c>
      <c r="F105" s="101">
        <f t="shared" si="52"/>
        <v>779484.21403646725</v>
      </c>
      <c r="G105" s="101">
        <f t="shared" si="52"/>
        <v>970540.65892414039</v>
      </c>
      <c r="H105" s="101">
        <f t="shared" si="52"/>
        <v>943646.49498718767</v>
      </c>
      <c r="I105" s="101">
        <f t="shared" si="52"/>
        <v>1031123.4110891377</v>
      </c>
      <c r="J105" s="101">
        <f t="shared" si="52"/>
        <v>945454.88374252664</v>
      </c>
      <c r="K105" s="101">
        <f t="shared" si="52"/>
        <v>1231847.6474871889</v>
      </c>
      <c r="L105" s="101">
        <f t="shared" si="52"/>
        <v>1079250.4596609564</v>
      </c>
      <c r="M105" s="101">
        <f t="shared" si="52"/>
        <v>1048741.9880149583</v>
      </c>
      <c r="N105" s="101">
        <f t="shared" si="52"/>
        <v>1048010.9267317293</v>
      </c>
    </row>
    <row r="106" spans="1:27" x14ac:dyDescent="0.3">
      <c r="A106" t="str">
        <f t="shared" si="39"/>
        <v>PARK</v>
      </c>
      <c r="B106" s="96">
        <v>4862081</v>
      </c>
      <c r="C106" s="101">
        <f t="shared" ref="C106:N106" si="53">IFERROR((+C22+C63)/(+$B22+$B63)*$B106,0)</f>
        <v>233128.08709563126</v>
      </c>
      <c r="D106" s="101">
        <f t="shared" si="53"/>
        <v>118522.93039374145</v>
      </c>
      <c r="E106" s="101">
        <f t="shared" si="53"/>
        <v>108252.58728738723</v>
      </c>
      <c r="F106" s="101">
        <f t="shared" si="53"/>
        <v>136575.43794754264</v>
      </c>
      <c r="G106" s="101">
        <f t="shared" si="53"/>
        <v>361130.22548040823</v>
      </c>
      <c r="H106" s="101">
        <f t="shared" si="53"/>
        <v>809377.66612559964</v>
      </c>
      <c r="I106" s="101">
        <f t="shared" si="53"/>
        <v>1465196.6469630699</v>
      </c>
      <c r="J106" s="101">
        <f t="shared" si="53"/>
        <v>1055848.8181384993</v>
      </c>
      <c r="K106" s="101">
        <f t="shared" si="53"/>
        <v>324527.68140689691</v>
      </c>
      <c r="L106" s="101">
        <f t="shared" si="53"/>
        <v>136511.9122533976</v>
      </c>
      <c r="M106" s="101">
        <f t="shared" si="53"/>
        <v>27350.747390927751</v>
      </c>
      <c r="N106" s="101">
        <f t="shared" si="53"/>
        <v>85658.259516897975</v>
      </c>
    </row>
    <row r="107" spans="1:27" x14ac:dyDescent="0.3">
      <c r="A107" t="str">
        <f t="shared" si="39"/>
        <v>LIBRARY</v>
      </c>
      <c r="B107" s="96">
        <v>643597</v>
      </c>
      <c r="C107" s="101">
        <f t="shared" ref="C107:N107" si="54">IFERROR((+C23+C64)/(+$B23+$B64)*$B107,0)</f>
        <v>38312.707625712341</v>
      </c>
      <c r="D107" s="101">
        <f t="shared" si="54"/>
        <v>24795.547857907975</v>
      </c>
      <c r="E107" s="101">
        <f t="shared" si="54"/>
        <v>87265.022003690086</v>
      </c>
      <c r="F107" s="101">
        <f t="shared" si="54"/>
        <v>72226.327607088868</v>
      </c>
      <c r="G107" s="101">
        <f t="shared" si="54"/>
        <v>31188.422895068397</v>
      </c>
      <c r="H107" s="101">
        <f t="shared" si="54"/>
        <v>26732.138506536303</v>
      </c>
      <c r="I107" s="101">
        <f t="shared" si="54"/>
        <v>31778.612308633648</v>
      </c>
      <c r="J107" s="101">
        <f t="shared" si="54"/>
        <v>66859.956970194587</v>
      </c>
      <c r="K107" s="101">
        <f t="shared" si="54"/>
        <v>81995.835215341707</v>
      </c>
      <c r="L107" s="101">
        <f t="shared" si="54"/>
        <v>97532.090669862853</v>
      </c>
      <c r="M107" s="101">
        <f t="shared" si="54"/>
        <v>51127.815320948095</v>
      </c>
      <c r="N107" s="101">
        <f t="shared" si="54"/>
        <v>33782.523019015127</v>
      </c>
    </row>
    <row r="108" spans="1:27" x14ac:dyDescent="0.3">
      <c r="A108" t="str">
        <f t="shared" si="39"/>
        <v>FINANCING PROCEEDS</v>
      </c>
      <c r="B108" s="96">
        <v>11548502</v>
      </c>
      <c r="C108" s="101">
        <f t="shared" ref="C108:N108" si="55">IFERROR((+C24+C65)/(+$B24+$B65)*$B108,0)</f>
        <v>0</v>
      </c>
      <c r="D108" s="101">
        <f t="shared" si="55"/>
        <v>0</v>
      </c>
      <c r="E108" s="101">
        <f t="shared" si="55"/>
        <v>0</v>
      </c>
      <c r="F108" s="101">
        <f t="shared" si="55"/>
        <v>0</v>
      </c>
      <c r="G108" s="101">
        <f t="shared" si="55"/>
        <v>0</v>
      </c>
      <c r="H108" s="101">
        <f t="shared" si="55"/>
        <v>0</v>
      </c>
      <c r="I108" s="101">
        <f t="shared" si="55"/>
        <v>0</v>
      </c>
      <c r="J108" s="101">
        <f t="shared" si="55"/>
        <v>0</v>
      </c>
      <c r="K108" s="101">
        <f t="shared" si="55"/>
        <v>0</v>
      </c>
      <c r="L108" s="101">
        <f t="shared" si="55"/>
        <v>0</v>
      </c>
      <c r="M108" s="101">
        <f t="shared" si="55"/>
        <v>0</v>
      </c>
      <c r="N108" s="101">
        <f t="shared" si="55"/>
        <v>11548502</v>
      </c>
    </row>
    <row r="109" spans="1:27" x14ac:dyDescent="0.3">
      <c r="A109" t="str">
        <f t="shared" si="39"/>
        <v>OTHER NON-RECURRING SOURCES</v>
      </c>
      <c r="B109" s="96"/>
      <c r="C109" s="101">
        <f t="shared" ref="C109:N109" si="56">IFERROR((+C25+C66)/(+$B25+$B66)*$B109,0)</f>
        <v>0</v>
      </c>
      <c r="D109" s="101">
        <f t="shared" si="56"/>
        <v>0</v>
      </c>
      <c r="E109" s="101">
        <f t="shared" si="56"/>
        <v>0</v>
      </c>
      <c r="F109" s="101">
        <f t="shared" si="56"/>
        <v>0</v>
      </c>
      <c r="G109" s="101">
        <f t="shared" si="56"/>
        <v>0</v>
      </c>
      <c r="H109" s="101">
        <f t="shared" si="56"/>
        <v>0</v>
      </c>
      <c r="I109" s="101">
        <f t="shared" si="56"/>
        <v>0</v>
      </c>
      <c r="J109" s="101">
        <f t="shared" si="56"/>
        <v>0</v>
      </c>
      <c r="K109" s="101">
        <f t="shared" si="56"/>
        <v>0</v>
      </c>
      <c r="L109" s="101">
        <f t="shared" si="56"/>
        <v>0</v>
      </c>
      <c r="M109" s="101">
        <f t="shared" si="56"/>
        <v>0</v>
      </c>
      <c r="N109" s="101">
        <f t="shared" si="56"/>
        <v>0</v>
      </c>
    </row>
    <row r="110" spans="1:27" x14ac:dyDescent="0.3">
      <c r="A110" s="35" t="s">
        <v>8</v>
      </c>
      <c r="B110" s="97">
        <f t="shared" ref="B110:N110" si="57">SUM(B93:B109)</f>
        <v>937397877</v>
      </c>
      <c r="C110" s="97">
        <f t="shared" si="57"/>
        <v>21497951.737969112</v>
      </c>
      <c r="D110" s="97">
        <f t="shared" si="57"/>
        <v>30042564.248751458</v>
      </c>
      <c r="E110" s="97">
        <f t="shared" si="57"/>
        <v>28703381.451815356</v>
      </c>
      <c r="F110" s="97">
        <f t="shared" si="57"/>
        <v>137136998.30463272</v>
      </c>
      <c r="G110" s="97">
        <f t="shared" si="57"/>
        <v>177410557.11319903</v>
      </c>
      <c r="H110" s="97">
        <f t="shared" si="57"/>
        <v>78654981.992211655</v>
      </c>
      <c r="I110" s="97">
        <f t="shared" si="57"/>
        <v>38855956.986495458</v>
      </c>
      <c r="J110" s="97">
        <f t="shared" si="57"/>
        <v>31137150.627308905</v>
      </c>
      <c r="K110" s="97">
        <f t="shared" si="57"/>
        <v>63085491.826306313</v>
      </c>
      <c r="L110" s="97">
        <f t="shared" si="57"/>
        <v>210760533.12049282</v>
      </c>
      <c r="M110" s="97">
        <f t="shared" si="57"/>
        <v>80279916.016399637</v>
      </c>
      <c r="N110" s="97">
        <f t="shared" si="57"/>
        <v>39832393.574417502</v>
      </c>
    </row>
    <row r="111" spans="1:27" x14ac:dyDescent="0.3">
      <c r="A111" s="7" t="s">
        <v>7</v>
      </c>
      <c r="B111" s="101"/>
      <c r="C111" s="101"/>
      <c r="D111" s="101"/>
      <c r="E111" s="101"/>
      <c r="F111" s="101"/>
      <c r="G111" s="101"/>
      <c r="H111" s="101"/>
      <c r="I111" s="101"/>
      <c r="J111" s="101"/>
      <c r="K111" s="101"/>
      <c r="L111" s="101"/>
      <c r="M111" s="101"/>
      <c r="N111" s="101"/>
    </row>
    <row r="112" spans="1:27" x14ac:dyDescent="0.3">
      <c r="A112" t="str">
        <f t="shared" ref="A112:A128" si="58">A28</f>
        <v>SALARIES &amp; WAGES</v>
      </c>
      <c r="B112" s="96">
        <v>115492000</v>
      </c>
      <c r="C112" s="101">
        <f>IFERROR(C$91*$B112,0)</f>
        <v>8884000</v>
      </c>
      <c r="D112" s="101">
        <f t="shared" ref="D112:N113" si="59">IFERROR(D$91*$B112,0)</f>
        <v>8884000</v>
      </c>
      <c r="E112" s="101">
        <f t="shared" si="59"/>
        <v>8884000</v>
      </c>
      <c r="F112" s="101">
        <f t="shared" si="59"/>
        <v>8884000</v>
      </c>
      <c r="G112" s="101">
        <f t="shared" si="59"/>
        <v>13326000</v>
      </c>
      <c r="H112" s="101">
        <f t="shared" si="59"/>
        <v>8884000</v>
      </c>
      <c r="I112" s="101">
        <f t="shared" si="59"/>
        <v>8884000</v>
      </c>
      <c r="J112" s="101">
        <f t="shared" si="59"/>
        <v>8884000</v>
      </c>
      <c r="K112" s="101">
        <f t="shared" si="59"/>
        <v>8884000</v>
      </c>
      <c r="L112" s="101">
        <f t="shared" si="59"/>
        <v>13326000</v>
      </c>
      <c r="M112" s="101">
        <f t="shared" si="59"/>
        <v>8884000</v>
      </c>
      <c r="N112" s="101">
        <f t="shared" si="59"/>
        <v>8884000</v>
      </c>
      <c r="P112" s="32" t="s">
        <v>133</v>
      </c>
      <c r="Q112" s="116"/>
      <c r="R112" s="116"/>
      <c r="S112" s="30"/>
      <c r="T112" s="30"/>
      <c r="U112" s="30"/>
      <c r="V112" s="30"/>
      <c r="W112" s="30"/>
      <c r="X112" s="30"/>
      <c r="Y112" s="30"/>
      <c r="Z112" s="30"/>
      <c r="AA112" s="30"/>
    </row>
    <row r="113" spans="1:27" x14ac:dyDescent="0.3">
      <c r="A113" t="str">
        <f t="shared" si="58"/>
        <v>BENEFITS</v>
      </c>
      <c r="B113" s="96">
        <v>23712000</v>
      </c>
      <c r="C113" s="101">
        <f>IFERROR(C$91*$B113,0)</f>
        <v>1824000</v>
      </c>
      <c r="D113" s="101">
        <f t="shared" si="59"/>
        <v>1824000</v>
      </c>
      <c r="E113" s="101">
        <f t="shared" si="59"/>
        <v>1824000</v>
      </c>
      <c r="F113" s="101">
        <f t="shared" si="59"/>
        <v>1824000</v>
      </c>
      <c r="G113" s="101">
        <f t="shared" si="59"/>
        <v>2736000</v>
      </c>
      <c r="H113" s="101">
        <f t="shared" si="59"/>
        <v>1824000</v>
      </c>
      <c r="I113" s="101">
        <f t="shared" si="59"/>
        <v>1824000</v>
      </c>
      <c r="J113" s="101">
        <f t="shared" si="59"/>
        <v>1824000</v>
      </c>
      <c r="K113" s="101">
        <f t="shared" si="59"/>
        <v>1824000</v>
      </c>
      <c r="L113" s="101">
        <f t="shared" si="59"/>
        <v>2736000</v>
      </c>
      <c r="M113" s="101">
        <f t="shared" si="59"/>
        <v>1824000</v>
      </c>
      <c r="N113" s="101">
        <f t="shared" si="59"/>
        <v>1824000</v>
      </c>
      <c r="P113" s="32" t="s">
        <v>133</v>
      </c>
      <c r="Q113" s="116"/>
      <c r="R113" s="116"/>
      <c r="S113" s="30"/>
      <c r="T113" s="30"/>
      <c r="U113" s="30"/>
      <c r="V113" s="30"/>
      <c r="W113" s="30"/>
      <c r="X113" s="30"/>
      <c r="Y113" s="30"/>
      <c r="Z113" s="30"/>
      <c r="AA113" s="30"/>
    </row>
    <row r="114" spans="1:27" x14ac:dyDescent="0.3">
      <c r="A114" t="str">
        <f t="shared" si="58"/>
        <v>CONTRACTUAL SERVICES</v>
      </c>
      <c r="B114" s="96">
        <v>237661628</v>
      </c>
      <c r="C114" s="101">
        <f t="shared" ref="C114:N114" si="60">IFERROR((+C30+C71)/(+$B30+$B71)*$B114,0)</f>
        <v>23040423.954437431</v>
      </c>
      <c r="D114" s="101">
        <f t="shared" si="60"/>
        <v>16046183.786478575</v>
      </c>
      <c r="E114" s="101">
        <f t="shared" si="60"/>
        <v>17866472.983169977</v>
      </c>
      <c r="F114" s="101">
        <f t="shared" si="60"/>
        <v>19650860.409263793</v>
      </c>
      <c r="G114" s="101">
        <f t="shared" si="60"/>
        <v>18009841.079166364</v>
      </c>
      <c r="H114" s="101">
        <f t="shared" si="60"/>
        <v>18190118.06502312</v>
      </c>
      <c r="I114" s="101">
        <f t="shared" si="60"/>
        <v>23851625.020307444</v>
      </c>
      <c r="J114" s="101">
        <f t="shared" si="60"/>
        <v>24603627.098898668</v>
      </c>
      <c r="K114" s="101">
        <f t="shared" si="60"/>
        <v>22253432.263030365</v>
      </c>
      <c r="L114" s="101">
        <f t="shared" si="60"/>
        <v>21678969.114259314</v>
      </c>
      <c r="M114" s="101">
        <f t="shared" si="60"/>
        <v>18404176.542631406</v>
      </c>
      <c r="N114" s="101">
        <f t="shared" si="60"/>
        <v>14065897.683333546</v>
      </c>
      <c r="P114" s="30"/>
      <c r="Q114" s="30"/>
      <c r="R114" s="30"/>
      <c r="S114" s="30"/>
      <c r="T114" s="30"/>
      <c r="U114" s="30"/>
      <c r="V114" s="30"/>
      <c r="W114" s="30"/>
      <c r="X114" s="30"/>
      <c r="Y114" s="30"/>
      <c r="Z114" s="30"/>
      <c r="AA114" s="30"/>
    </row>
    <row r="115" spans="1:27" x14ac:dyDescent="0.3">
      <c r="A115" t="str">
        <f t="shared" si="58"/>
        <v>UTILITIES</v>
      </c>
      <c r="B115" s="96">
        <v>0</v>
      </c>
      <c r="C115" s="101">
        <f t="shared" ref="C115:N115" si="61">IFERROR((+C31+C72)/(+$B31+$B72)*$B115,0)</f>
        <v>0</v>
      </c>
      <c r="D115" s="101">
        <f t="shared" si="61"/>
        <v>0</v>
      </c>
      <c r="E115" s="101">
        <f t="shared" si="61"/>
        <v>0</v>
      </c>
      <c r="F115" s="101">
        <f t="shared" si="61"/>
        <v>0</v>
      </c>
      <c r="G115" s="101">
        <f t="shared" si="61"/>
        <v>0</v>
      </c>
      <c r="H115" s="101">
        <f t="shared" si="61"/>
        <v>0</v>
      </c>
      <c r="I115" s="101">
        <f t="shared" si="61"/>
        <v>0</v>
      </c>
      <c r="J115" s="101">
        <f t="shared" si="61"/>
        <v>0</v>
      </c>
      <c r="K115" s="101">
        <f t="shared" si="61"/>
        <v>0</v>
      </c>
      <c r="L115" s="101">
        <f t="shared" si="61"/>
        <v>0</v>
      </c>
      <c r="M115" s="101">
        <f t="shared" si="61"/>
        <v>0</v>
      </c>
      <c r="N115" s="101">
        <f t="shared" si="61"/>
        <v>0</v>
      </c>
      <c r="P115" s="30"/>
      <c r="Q115" s="30"/>
      <c r="R115" s="30"/>
      <c r="S115" s="30"/>
      <c r="T115" s="30"/>
      <c r="U115" s="30"/>
      <c r="V115" s="30"/>
      <c r="W115" s="30"/>
      <c r="X115" s="30"/>
      <c r="Y115" s="30"/>
      <c r="Z115" s="30"/>
      <c r="AA115" s="30"/>
    </row>
    <row r="116" spans="1:27" x14ac:dyDescent="0.3">
      <c r="A116" t="str">
        <f t="shared" si="58"/>
        <v>MAINTENANCE AND REPAIRS</v>
      </c>
      <c r="B116" s="96">
        <v>0</v>
      </c>
      <c r="C116" s="101">
        <f t="shared" ref="C116:N116" si="62">IFERROR((+C32+C73)/(+$B32+$B73)*$B116,0)</f>
        <v>0</v>
      </c>
      <c r="D116" s="101">
        <f t="shared" si="62"/>
        <v>0</v>
      </c>
      <c r="E116" s="101">
        <f t="shared" si="62"/>
        <v>0</v>
      </c>
      <c r="F116" s="101">
        <f t="shared" si="62"/>
        <v>0</v>
      </c>
      <c r="G116" s="101">
        <f t="shared" si="62"/>
        <v>0</v>
      </c>
      <c r="H116" s="101">
        <f t="shared" si="62"/>
        <v>0</v>
      </c>
      <c r="I116" s="101">
        <f t="shared" si="62"/>
        <v>0</v>
      </c>
      <c r="J116" s="101">
        <f t="shared" si="62"/>
        <v>0</v>
      </c>
      <c r="K116" s="101">
        <f t="shared" si="62"/>
        <v>0</v>
      </c>
      <c r="L116" s="101">
        <f t="shared" si="62"/>
        <v>0</v>
      </c>
      <c r="M116" s="101">
        <f t="shared" si="62"/>
        <v>0</v>
      </c>
      <c r="N116" s="101">
        <f t="shared" si="62"/>
        <v>0</v>
      </c>
      <c r="P116" s="30"/>
      <c r="Q116" s="30"/>
      <c r="R116" s="30"/>
      <c r="S116" s="30"/>
      <c r="T116" s="30"/>
      <c r="U116" s="30"/>
      <c r="V116" s="30"/>
      <c r="W116" s="30"/>
      <c r="X116" s="30"/>
      <c r="Y116" s="30"/>
      <c r="Z116" s="30"/>
      <c r="AA116" s="30"/>
    </row>
    <row r="117" spans="1:27" x14ac:dyDescent="0.3">
      <c r="A117" t="str">
        <f t="shared" si="58"/>
        <v>FISCAL DISPARITIES</v>
      </c>
      <c r="B117" s="96">
        <v>69982347</v>
      </c>
      <c r="C117" s="101">
        <f t="shared" ref="C117:N117" si="63">IFERROR((+C33+C74)/(+$B33+$B74)*$B117,0)</f>
        <v>0</v>
      </c>
      <c r="D117" s="101">
        <f t="shared" si="63"/>
        <v>0</v>
      </c>
      <c r="E117" s="101">
        <f t="shared" si="63"/>
        <v>0</v>
      </c>
      <c r="F117" s="101">
        <f t="shared" si="63"/>
        <v>0</v>
      </c>
      <c r="G117" s="101">
        <f t="shared" si="63"/>
        <v>0</v>
      </c>
      <c r="H117" s="101">
        <f t="shared" si="63"/>
        <v>34143531.13583982</v>
      </c>
      <c r="I117" s="101">
        <f t="shared" si="63"/>
        <v>847642.36416018405</v>
      </c>
      <c r="J117" s="101">
        <f t="shared" si="63"/>
        <v>0</v>
      </c>
      <c r="K117" s="101">
        <f t="shared" si="63"/>
        <v>0</v>
      </c>
      <c r="L117" s="101">
        <f t="shared" si="63"/>
        <v>0</v>
      </c>
      <c r="M117" s="101">
        <f t="shared" si="63"/>
        <v>34991173.5</v>
      </c>
      <c r="N117" s="101">
        <f t="shared" si="63"/>
        <v>0</v>
      </c>
      <c r="P117" s="30"/>
      <c r="Q117" s="30"/>
      <c r="R117" s="30"/>
      <c r="S117" s="30"/>
      <c r="T117" s="30"/>
      <c r="U117" s="30"/>
      <c r="V117" s="30"/>
      <c r="W117" s="30"/>
      <c r="X117" s="30"/>
      <c r="Y117" s="30"/>
      <c r="Z117" s="30"/>
      <c r="AA117" s="30"/>
    </row>
    <row r="118" spans="1:27" x14ac:dyDescent="0.3">
      <c r="A118" t="str">
        <f t="shared" si="58"/>
        <v>CAPITAL</v>
      </c>
      <c r="B118" s="96">
        <v>0</v>
      </c>
      <c r="C118" s="101">
        <f t="shared" ref="C118:N118" si="64">IFERROR((+C34+C75)/(+$B34+$B75)*$B118,0)</f>
        <v>0</v>
      </c>
      <c r="D118" s="101">
        <f t="shared" si="64"/>
        <v>0</v>
      </c>
      <c r="E118" s="101">
        <f t="shared" si="64"/>
        <v>0</v>
      </c>
      <c r="F118" s="101">
        <f t="shared" si="64"/>
        <v>0</v>
      </c>
      <c r="G118" s="101">
        <f t="shared" si="64"/>
        <v>0</v>
      </c>
      <c r="H118" s="101">
        <f t="shared" si="64"/>
        <v>0</v>
      </c>
      <c r="I118" s="101">
        <f t="shared" si="64"/>
        <v>0</v>
      </c>
      <c r="J118" s="101">
        <f t="shared" si="64"/>
        <v>0</v>
      </c>
      <c r="K118" s="101">
        <f t="shared" si="64"/>
        <v>0</v>
      </c>
      <c r="L118" s="101">
        <f t="shared" si="64"/>
        <v>0</v>
      </c>
      <c r="M118" s="101">
        <f t="shared" si="64"/>
        <v>0</v>
      </c>
      <c r="N118" s="101">
        <f t="shared" si="64"/>
        <v>0</v>
      </c>
      <c r="P118" s="30"/>
      <c r="Q118" s="30"/>
      <c r="R118" s="30"/>
      <c r="S118" s="30"/>
      <c r="T118" s="30"/>
      <c r="U118" s="30"/>
      <c r="V118" s="30"/>
      <c r="W118" s="30"/>
      <c r="X118" s="30"/>
      <c r="Y118" s="30"/>
      <c r="Z118" s="30"/>
      <c r="AA118" s="30"/>
    </row>
    <row r="119" spans="1:27" x14ac:dyDescent="0.3">
      <c r="A119" t="str">
        <f t="shared" si="58"/>
        <v>GRANTS</v>
      </c>
      <c r="B119" s="96">
        <v>0</v>
      </c>
      <c r="C119" s="101">
        <f t="shared" ref="C119:N119" si="65">IFERROR((+C35+C76)/(+$B35+$B76)*$B119,0)</f>
        <v>0</v>
      </c>
      <c r="D119" s="101">
        <f t="shared" si="65"/>
        <v>0</v>
      </c>
      <c r="E119" s="101">
        <f t="shared" si="65"/>
        <v>0</v>
      </c>
      <c r="F119" s="101">
        <f t="shared" si="65"/>
        <v>0</v>
      </c>
      <c r="G119" s="101">
        <f t="shared" si="65"/>
        <v>0</v>
      </c>
      <c r="H119" s="101">
        <f t="shared" si="65"/>
        <v>0</v>
      </c>
      <c r="I119" s="101">
        <f t="shared" si="65"/>
        <v>0</v>
      </c>
      <c r="J119" s="101">
        <f t="shared" si="65"/>
        <v>0</v>
      </c>
      <c r="K119" s="101">
        <f t="shared" si="65"/>
        <v>0</v>
      </c>
      <c r="L119" s="101">
        <f t="shared" si="65"/>
        <v>0</v>
      </c>
      <c r="M119" s="101">
        <f t="shared" si="65"/>
        <v>0</v>
      </c>
      <c r="N119" s="101">
        <f t="shared" si="65"/>
        <v>0</v>
      </c>
      <c r="P119" s="30"/>
      <c r="Q119" s="30"/>
      <c r="R119" s="30"/>
      <c r="S119" s="30"/>
      <c r="T119" s="30"/>
      <c r="U119" s="30"/>
      <c r="V119" s="30"/>
      <c r="W119" s="30"/>
      <c r="X119" s="30"/>
      <c r="Y119" s="30"/>
      <c r="Z119" s="30"/>
      <c r="AA119" s="30"/>
    </row>
    <row r="120" spans="1:27" x14ac:dyDescent="0.3">
      <c r="A120" t="str">
        <f t="shared" si="58"/>
        <v>TRANSFERS/OTHER</v>
      </c>
      <c r="B120" s="96">
        <v>0</v>
      </c>
      <c r="C120" s="101">
        <f t="shared" ref="C120:N120" si="66">IFERROR((+C36+C77)/(+$B36+$B77)*$B120,0)</f>
        <v>0</v>
      </c>
      <c r="D120" s="101">
        <f t="shared" si="66"/>
        <v>0</v>
      </c>
      <c r="E120" s="101">
        <f t="shared" si="66"/>
        <v>0</v>
      </c>
      <c r="F120" s="101">
        <f t="shared" si="66"/>
        <v>0</v>
      </c>
      <c r="G120" s="101">
        <f t="shared" si="66"/>
        <v>0</v>
      </c>
      <c r="H120" s="101">
        <f t="shared" si="66"/>
        <v>0</v>
      </c>
      <c r="I120" s="101">
        <f t="shared" si="66"/>
        <v>0</v>
      </c>
      <c r="J120" s="101">
        <f t="shared" si="66"/>
        <v>0</v>
      </c>
      <c r="K120" s="101">
        <f t="shared" si="66"/>
        <v>0</v>
      </c>
      <c r="L120" s="101">
        <f t="shared" si="66"/>
        <v>0</v>
      </c>
      <c r="M120" s="101">
        <f t="shared" si="66"/>
        <v>0</v>
      </c>
      <c r="N120" s="101">
        <f t="shared" si="66"/>
        <v>0</v>
      </c>
      <c r="P120" s="30"/>
      <c r="Q120" s="30"/>
      <c r="R120" s="30"/>
      <c r="S120" s="30"/>
      <c r="T120" s="30"/>
      <c r="U120" s="30"/>
      <c r="V120" s="30"/>
      <c r="W120" s="30"/>
      <c r="X120" s="30"/>
      <c r="Y120" s="30"/>
      <c r="Z120" s="30"/>
      <c r="AA120" s="30"/>
    </row>
    <row r="121" spans="1:27" x14ac:dyDescent="0.3">
      <c r="A121" t="str">
        <f t="shared" si="58"/>
        <v>MTGE/DEED/TAXES/FEES</v>
      </c>
      <c r="B121" s="96">
        <v>15723917</v>
      </c>
      <c r="C121" s="101">
        <f t="shared" ref="C121:N121" si="67">IFERROR((+C37+C78)/(+$B37+$B78)*$B121,0)</f>
        <v>1122266.1688904366</v>
      </c>
      <c r="D121" s="101">
        <f t="shared" si="67"/>
        <v>1110875.9518963306</v>
      </c>
      <c r="E121" s="101">
        <f t="shared" si="67"/>
        <v>934095.60537922417</v>
      </c>
      <c r="F121" s="101">
        <f t="shared" si="67"/>
        <v>1097513.6224283322</v>
      </c>
      <c r="G121" s="101">
        <f t="shared" si="67"/>
        <v>1112375.3923854386</v>
      </c>
      <c r="H121" s="101">
        <f t="shared" si="67"/>
        <v>2397616.6083717458</v>
      </c>
      <c r="I121" s="101">
        <f t="shared" si="67"/>
        <v>7644.6883952890485</v>
      </c>
      <c r="J121" s="101">
        <f t="shared" si="67"/>
        <v>2118929.1037224494</v>
      </c>
      <c r="K121" s="101">
        <f t="shared" si="67"/>
        <v>1635675.0020442579</v>
      </c>
      <c r="L121" s="101">
        <f t="shared" si="67"/>
        <v>1499665.3027607091</v>
      </c>
      <c r="M121" s="101">
        <f t="shared" si="67"/>
        <v>2047521.8351566198</v>
      </c>
      <c r="N121" s="101">
        <f t="shared" si="67"/>
        <v>639737.71856916661</v>
      </c>
      <c r="P121" s="30"/>
      <c r="Q121" s="30"/>
      <c r="R121" s="30"/>
      <c r="S121" s="30"/>
      <c r="T121" s="30"/>
      <c r="U121" s="30"/>
      <c r="V121" s="30"/>
      <c r="W121" s="30"/>
      <c r="X121" s="30"/>
      <c r="Y121" s="30"/>
      <c r="Z121" s="30"/>
      <c r="AA121" s="30"/>
    </row>
    <row r="122" spans="1:27" x14ac:dyDescent="0.3">
      <c r="A122" t="str">
        <f t="shared" si="58"/>
        <v>DEBT PYMTS</v>
      </c>
      <c r="B122" s="96">
        <v>16061980</v>
      </c>
      <c r="C122" s="101">
        <f t="shared" ref="C122:N122" si="68">IFERROR((+C38+C79)/(+$B38+$B79)*$B122,0)</f>
        <v>175379.8663562343</v>
      </c>
      <c r="D122" s="101">
        <f t="shared" si="68"/>
        <v>13691374.11849851</v>
      </c>
      <c r="E122" s="101">
        <f t="shared" si="68"/>
        <v>0</v>
      </c>
      <c r="F122" s="101">
        <f t="shared" si="68"/>
        <v>0</v>
      </c>
      <c r="G122" s="101">
        <f t="shared" si="68"/>
        <v>102718.29895195519</v>
      </c>
      <c r="H122" s="101">
        <f t="shared" si="68"/>
        <v>0</v>
      </c>
      <c r="I122" s="101">
        <f t="shared" si="68"/>
        <v>745191.66627070692</v>
      </c>
      <c r="J122" s="101">
        <f t="shared" si="68"/>
        <v>708021.65067660785</v>
      </c>
      <c r="K122" s="101">
        <f t="shared" si="68"/>
        <v>0</v>
      </c>
      <c r="L122" s="101">
        <f t="shared" si="68"/>
        <v>0</v>
      </c>
      <c r="M122" s="101">
        <f t="shared" si="68"/>
        <v>12677.850108197654</v>
      </c>
      <c r="N122" s="101">
        <f t="shared" si="68"/>
        <v>626616.54913778778</v>
      </c>
      <c r="P122" s="30"/>
      <c r="Q122" s="30"/>
      <c r="R122" s="30"/>
      <c r="S122" s="30"/>
      <c r="T122" s="30"/>
      <c r="U122" s="30"/>
      <c r="V122" s="30"/>
      <c r="W122" s="30"/>
      <c r="X122" s="30"/>
      <c r="Y122" s="30"/>
      <c r="Z122" s="30"/>
      <c r="AA122" s="30"/>
    </row>
    <row r="123" spans="1:27" x14ac:dyDescent="0.3">
      <c r="A123" t="str">
        <f t="shared" si="58"/>
        <v>TAX DISTRIBUTION PYMTS</v>
      </c>
      <c r="B123" s="96">
        <v>409462482</v>
      </c>
      <c r="C123" s="101">
        <f t="shared" ref="C123:N123" si="69">IFERROR((+C39+C80)/(+$B39+$B80)*$B123,0)</f>
        <v>2671411.0895412788</v>
      </c>
      <c r="D123" s="101">
        <f t="shared" si="69"/>
        <v>0</v>
      </c>
      <c r="E123" s="101">
        <f t="shared" si="69"/>
        <v>314751.44874392851</v>
      </c>
      <c r="F123" s="101">
        <f t="shared" si="69"/>
        <v>0</v>
      </c>
      <c r="G123" s="101">
        <f t="shared" si="69"/>
        <v>46616656.116462216</v>
      </c>
      <c r="H123" s="101">
        <f t="shared" si="69"/>
        <v>72635661.1583516</v>
      </c>
      <c r="I123" s="101">
        <f t="shared" si="69"/>
        <v>99928101.192649186</v>
      </c>
      <c r="J123" s="101">
        <f t="shared" si="69"/>
        <v>0</v>
      </c>
      <c r="K123" s="101">
        <f t="shared" si="69"/>
        <v>0</v>
      </c>
      <c r="L123" s="101">
        <f t="shared" si="69"/>
        <v>41292157.918536186</v>
      </c>
      <c r="M123" s="101">
        <f t="shared" si="69"/>
        <v>93303850.465697378</v>
      </c>
      <c r="N123" s="101">
        <f t="shared" si="69"/>
        <v>52699892.610018238</v>
      </c>
      <c r="P123" s="30"/>
      <c r="Q123" s="30"/>
      <c r="R123" s="30"/>
      <c r="S123" s="30"/>
      <c r="T123" s="30"/>
      <c r="U123" s="30"/>
      <c r="V123" s="30"/>
      <c r="W123" s="30"/>
      <c r="X123" s="30"/>
      <c r="Y123" s="30"/>
      <c r="Z123" s="30"/>
      <c r="AA123" s="30"/>
    </row>
    <row r="124" spans="1:27" x14ac:dyDescent="0.3">
      <c r="A124" t="str">
        <f t="shared" si="58"/>
        <v xml:space="preserve">INVESTMENT PURCHASES </v>
      </c>
      <c r="B124" s="96">
        <v>28633628</v>
      </c>
      <c r="C124" s="101">
        <f t="shared" ref="C124:N124" si="70">IFERROR((+C40+C81)/(+$B40+$B81)*$B124,0)</f>
        <v>4206025.1484620199</v>
      </c>
      <c r="D124" s="101">
        <f t="shared" si="70"/>
        <v>1549528.0672515698</v>
      </c>
      <c r="E124" s="101">
        <f t="shared" si="70"/>
        <v>464858.42017547094</v>
      </c>
      <c r="F124" s="101">
        <f t="shared" si="70"/>
        <v>2033152.3151538468</v>
      </c>
      <c r="G124" s="101">
        <f t="shared" si="70"/>
        <v>3187228.8200974627</v>
      </c>
      <c r="H124" s="101">
        <f t="shared" si="70"/>
        <v>4005548.504076005</v>
      </c>
      <c r="I124" s="101">
        <f t="shared" si="70"/>
        <v>1953138.3333500458</v>
      </c>
      <c r="J124" s="101">
        <f t="shared" si="70"/>
        <v>1595650.2024916438</v>
      </c>
      <c r="K124" s="101">
        <f t="shared" si="70"/>
        <v>1849315.7706679369</v>
      </c>
      <c r="L124" s="101">
        <f t="shared" si="70"/>
        <v>4162629.5659081391</v>
      </c>
      <c r="M124" s="101">
        <f t="shared" si="70"/>
        <v>901784.40590604534</v>
      </c>
      <c r="N124" s="101">
        <f t="shared" si="70"/>
        <v>2724768.446459814</v>
      </c>
      <c r="P124" s="30"/>
      <c r="Q124" s="30"/>
      <c r="R124" s="30"/>
      <c r="S124" s="30"/>
      <c r="T124" s="30"/>
      <c r="U124" s="30"/>
      <c r="V124" s="30"/>
      <c r="W124" s="30"/>
      <c r="X124" s="30"/>
      <c r="Y124" s="30"/>
      <c r="Z124" s="30"/>
      <c r="AA124" s="30"/>
    </row>
    <row r="125" spans="1:27" x14ac:dyDescent="0.3">
      <c r="A125" t="str">
        <f t="shared" si="58"/>
        <v>OTHER EXPENSES/USES</v>
      </c>
      <c r="B125" s="96"/>
      <c r="C125" s="101">
        <f t="shared" ref="C125:N125" si="71">IFERROR((+C41+C82)/(+$B41+$B82)*$B125,0)</f>
        <v>0</v>
      </c>
      <c r="D125" s="101">
        <f t="shared" si="71"/>
        <v>0</v>
      </c>
      <c r="E125" s="101">
        <f t="shared" si="71"/>
        <v>0</v>
      </c>
      <c r="F125" s="101">
        <f t="shared" si="71"/>
        <v>0</v>
      </c>
      <c r="G125" s="101">
        <f t="shared" si="71"/>
        <v>0</v>
      </c>
      <c r="H125" s="101">
        <f t="shared" si="71"/>
        <v>0</v>
      </c>
      <c r="I125" s="101">
        <f t="shared" si="71"/>
        <v>0</v>
      </c>
      <c r="J125" s="101">
        <f t="shared" si="71"/>
        <v>0</v>
      </c>
      <c r="K125" s="101">
        <f t="shared" si="71"/>
        <v>0</v>
      </c>
      <c r="L125" s="101">
        <f t="shared" si="71"/>
        <v>0</v>
      </c>
      <c r="M125" s="101">
        <f t="shared" si="71"/>
        <v>0</v>
      </c>
      <c r="N125" s="101">
        <f t="shared" si="71"/>
        <v>0</v>
      </c>
      <c r="P125" s="30"/>
      <c r="Q125" s="30"/>
      <c r="R125" s="30"/>
      <c r="S125" s="30"/>
      <c r="T125" s="30"/>
      <c r="U125" s="30"/>
      <c r="V125" s="30"/>
      <c r="W125" s="30"/>
      <c r="X125" s="30"/>
      <c r="Y125" s="30"/>
      <c r="Z125" s="30"/>
      <c r="AA125" s="30"/>
    </row>
    <row r="126" spans="1:27" x14ac:dyDescent="0.3">
      <c r="A126" t="str">
        <f t="shared" si="58"/>
        <v>OTHER EXPENSES/USES</v>
      </c>
      <c r="B126" s="96"/>
      <c r="C126" s="101">
        <f t="shared" ref="C126:N126" si="72">IFERROR((+C42+C83)/(+$B42+$B83)*$B126,0)</f>
        <v>0</v>
      </c>
      <c r="D126" s="101">
        <f t="shared" si="72"/>
        <v>0</v>
      </c>
      <c r="E126" s="101">
        <f t="shared" si="72"/>
        <v>0</v>
      </c>
      <c r="F126" s="101">
        <f t="shared" si="72"/>
        <v>0</v>
      </c>
      <c r="G126" s="101">
        <f t="shared" si="72"/>
        <v>0</v>
      </c>
      <c r="H126" s="101">
        <f t="shared" si="72"/>
        <v>0</v>
      </c>
      <c r="I126" s="101">
        <f t="shared" si="72"/>
        <v>0</v>
      </c>
      <c r="J126" s="101">
        <f t="shared" si="72"/>
        <v>0</v>
      </c>
      <c r="K126" s="101">
        <f t="shared" si="72"/>
        <v>0</v>
      </c>
      <c r="L126" s="101">
        <f t="shared" si="72"/>
        <v>0</v>
      </c>
      <c r="M126" s="101">
        <f t="shared" si="72"/>
        <v>0</v>
      </c>
      <c r="N126" s="101">
        <f t="shared" si="72"/>
        <v>0</v>
      </c>
      <c r="P126" s="30"/>
      <c r="Q126" s="30"/>
      <c r="R126" s="30"/>
      <c r="S126" s="30"/>
      <c r="T126" s="30"/>
      <c r="U126" s="30"/>
      <c r="V126" s="30"/>
      <c r="W126" s="30"/>
      <c r="X126" s="30"/>
      <c r="Y126" s="30"/>
      <c r="Z126" s="30"/>
      <c r="AA126" s="30"/>
    </row>
    <row r="127" spans="1:27" x14ac:dyDescent="0.3">
      <c r="A127" t="str">
        <f t="shared" si="58"/>
        <v>OTHER EXPENSES/USES</v>
      </c>
      <c r="B127" s="96"/>
      <c r="C127" s="101">
        <f t="shared" ref="C127:N127" si="73">IFERROR((+C43+C84)/(+$B43+$B84)*$B127,0)</f>
        <v>0</v>
      </c>
      <c r="D127" s="101">
        <f t="shared" si="73"/>
        <v>0</v>
      </c>
      <c r="E127" s="101">
        <f t="shared" si="73"/>
        <v>0</v>
      </c>
      <c r="F127" s="101">
        <f t="shared" si="73"/>
        <v>0</v>
      </c>
      <c r="G127" s="101">
        <f t="shared" si="73"/>
        <v>0</v>
      </c>
      <c r="H127" s="101">
        <f t="shared" si="73"/>
        <v>0</v>
      </c>
      <c r="I127" s="101">
        <f t="shared" si="73"/>
        <v>0</v>
      </c>
      <c r="J127" s="101">
        <f t="shared" si="73"/>
        <v>0</v>
      </c>
      <c r="K127" s="101">
        <f t="shared" si="73"/>
        <v>0</v>
      </c>
      <c r="L127" s="101">
        <f t="shared" si="73"/>
        <v>0</v>
      </c>
      <c r="M127" s="101">
        <f t="shared" si="73"/>
        <v>0</v>
      </c>
      <c r="N127" s="101">
        <f t="shared" si="73"/>
        <v>0</v>
      </c>
      <c r="P127" s="30"/>
      <c r="Q127" s="30"/>
      <c r="R127" s="30"/>
      <c r="S127" s="30"/>
      <c r="T127" s="30"/>
      <c r="U127" s="30"/>
      <c r="V127" s="30"/>
      <c r="W127" s="30"/>
      <c r="X127" s="30"/>
      <c r="Y127" s="30"/>
      <c r="Z127" s="30"/>
      <c r="AA127" s="30"/>
    </row>
    <row r="128" spans="1:27" x14ac:dyDescent="0.3">
      <c r="A128" t="str">
        <f t="shared" si="58"/>
        <v>OTHER NON-RECURRING USES</v>
      </c>
      <c r="B128" s="96"/>
      <c r="C128" s="101">
        <f t="shared" ref="C128:N128" si="74">IFERROR((+C44+C85)/(+$B44+$B85)*$B128,0)</f>
        <v>0</v>
      </c>
      <c r="D128" s="101">
        <f t="shared" si="74"/>
        <v>0</v>
      </c>
      <c r="E128" s="101">
        <f t="shared" si="74"/>
        <v>0</v>
      </c>
      <c r="F128" s="101">
        <f t="shared" si="74"/>
        <v>0</v>
      </c>
      <c r="G128" s="101">
        <f t="shared" si="74"/>
        <v>0</v>
      </c>
      <c r="H128" s="101">
        <f t="shared" si="74"/>
        <v>0</v>
      </c>
      <c r="I128" s="101">
        <f t="shared" si="74"/>
        <v>0</v>
      </c>
      <c r="J128" s="101">
        <f t="shared" si="74"/>
        <v>0</v>
      </c>
      <c r="K128" s="101">
        <f t="shared" si="74"/>
        <v>0</v>
      </c>
      <c r="L128" s="101">
        <f t="shared" si="74"/>
        <v>0</v>
      </c>
      <c r="M128" s="101">
        <f t="shared" si="74"/>
        <v>0</v>
      </c>
      <c r="N128" s="101">
        <f t="shared" si="74"/>
        <v>0</v>
      </c>
      <c r="P128" s="30"/>
      <c r="Q128" s="30"/>
      <c r="R128" s="30"/>
      <c r="S128" s="30"/>
      <c r="T128" s="30"/>
      <c r="U128" s="30"/>
      <c r="V128" s="30"/>
      <c r="W128" s="30"/>
      <c r="X128" s="30"/>
      <c r="Y128" s="30"/>
      <c r="Z128" s="30"/>
      <c r="AA128" s="30"/>
    </row>
    <row r="129" spans="1:18" x14ac:dyDescent="0.3">
      <c r="A129" s="35" t="s">
        <v>9</v>
      </c>
      <c r="B129" s="97">
        <f>SUM(B112:B128)</f>
        <v>916729982</v>
      </c>
      <c r="C129" s="97">
        <f t="shared" ref="C129" si="75">SUM(C112:C128)</f>
        <v>41923506.227687404</v>
      </c>
      <c r="D129" s="97">
        <f t="shared" ref="D129" si="76">SUM(D112:D128)</f>
        <v>43105961.924124986</v>
      </c>
      <c r="E129" s="97">
        <f t="shared" ref="E129" si="77">SUM(E112:E128)</f>
        <v>30288178.457468599</v>
      </c>
      <c r="F129" s="97">
        <f t="shared" ref="F129" si="78">SUM(F112:F128)</f>
        <v>33489526.346845973</v>
      </c>
      <c r="G129" s="97">
        <f t="shared" ref="G129" si="79">SUM(G112:G128)</f>
        <v>85090819.707063437</v>
      </c>
      <c r="H129" s="97">
        <f t="shared" ref="H129" si="80">SUM(H112:H128)</f>
        <v>142080475.47166228</v>
      </c>
      <c r="I129" s="97">
        <f t="shared" ref="I129" si="81">SUM(I112:I128)</f>
        <v>138041343.26513284</v>
      </c>
      <c r="J129" s="97">
        <f t="shared" ref="J129" si="82">SUM(J112:J128)</f>
        <v>39734228.055789366</v>
      </c>
      <c r="K129" s="97">
        <f t="shared" ref="K129" si="83">SUM(K112:K128)</f>
        <v>36446423.035742566</v>
      </c>
      <c r="L129" s="97">
        <f t="shared" ref="L129" si="84">SUM(L112:L128)</f>
        <v>84695421.901464343</v>
      </c>
      <c r="M129" s="97">
        <f t="shared" ref="M129" si="85">SUM(M112:M128)</f>
        <v>160369184.59949964</v>
      </c>
      <c r="N129" s="97">
        <f t="shared" ref="N129" si="86">SUM(N112:N128)</f>
        <v>81464913.007518545</v>
      </c>
    </row>
    <row r="130" spans="1:18" ht="15" thickBot="1" x14ac:dyDescent="0.35">
      <c r="A130" s="36" t="s">
        <v>10</v>
      </c>
      <c r="B130" s="100">
        <f t="shared" ref="B130:N130" si="87">B110-B129</f>
        <v>20667895</v>
      </c>
      <c r="C130" s="100">
        <f t="shared" si="87"/>
        <v>-20425554.489718292</v>
      </c>
      <c r="D130" s="100">
        <f t="shared" si="87"/>
        <v>-13063397.675373528</v>
      </c>
      <c r="E130" s="100">
        <f t="shared" si="87"/>
        <v>-1584797.0056532435</v>
      </c>
      <c r="F130" s="100">
        <f t="shared" si="87"/>
        <v>103647471.95778675</v>
      </c>
      <c r="G130" s="100">
        <f t="shared" si="87"/>
        <v>92319737.406135589</v>
      </c>
      <c r="H130" s="100">
        <f t="shared" si="87"/>
        <v>-63425493.479450628</v>
      </c>
      <c r="I130" s="100">
        <f t="shared" si="87"/>
        <v>-99185386.278637379</v>
      </c>
      <c r="J130" s="100">
        <f t="shared" si="87"/>
        <v>-8597077.4284804612</v>
      </c>
      <c r="K130" s="100">
        <f t="shared" si="87"/>
        <v>26639068.790563747</v>
      </c>
      <c r="L130" s="100">
        <f t="shared" si="87"/>
        <v>126065111.21902847</v>
      </c>
      <c r="M130" s="100">
        <f t="shared" si="87"/>
        <v>-80089268.583100006</v>
      </c>
      <c r="N130" s="100">
        <f t="shared" si="87"/>
        <v>-41632519.433101043</v>
      </c>
    </row>
    <row r="131" spans="1:18" x14ac:dyDescent="0.3">
      <c r="A131" s="32" t="s">
        <v>169</v>
      </c>
      <c r="B131" s="102"/>
      <c r="C131" s="103"/>
      <c r="D131" s="103"/>
      <c r="E131" s="103"/>
      <c r="F131" s="103"/>
      <c r="G131" s="103"/>
      <c r="H131" s="103"/>
      <c r="I131" s="103"/>
      <c r="J131" s="103"/>
      <c r="K131" s="103"/>
      <c r="L131" s="103"/>
      <c r="M131" s="103"/>
      <c r="N131" s="103"/>
    </row>
    <row r="132" spans="1:18" ht="15" thickBot="1" x14ac:dyDescent="0.35">
      <c r="A132" s="33"/>
      <c r="B132" s="105" t="str">
        <f t="shared" ref="B132:N132" si="88">B89</f>
        <v>TOTAL-2025</v>
      </c>
      <c r="C132" s="105" t="str">
        <f t="shared" si="88"/>
        <v>JUL-2024</v>
      </c>
      <c r="D132" s="105" t="str">
        <f t="shared" si="88"/>
        <v>AUG-2024</v>
      </c>
      <c r="E132" s="105" t="str">
        <f t="shared" si="88"/>
        <v>SEP-2024</v>
      </c>
      <c r="F132" s="105" t="str">
        <f t="shared" si="88"/>
        <v>OCT-2024</v>
      </c>
      <c r="G132" s="105" t="str">
        <f t="shared" si="88"/>
        <v>NOV-2024</v>
      </c>
      <c r="H132" s="105" t="str">
        <f t="shared" si="88"/>
        <v>DEC-2024</v>
      </c>
      <c r="I132" s="105" t="str">
        <f t="shared" si="88"/>
        <v>JAN-2025</v>
      </c>
      <c r="J132" s="105" t="str">
        <f t="shared" si="88"/>
        <v>FEB-2025</v>
      </c>
      <c r="K132" s="105" t="str">
        <f t="shared" si="88"/>
        <v>MAR-2025</v>
      </c>
      <c r="L132" s="105" t="str">
        <f t="shared" si="88"/>
        <v>APR-2025</v>
      </c>
      <c r="M132" s="105" t="str">
        <f t="shared" si="88"/>
        <v>MAY-2025</v>
      </c>
      <c r="N132" s="105" t="str">
        <f t="shared" si="88"/>
        <v>JUN-2025</v>
      </c>
    </row>
    <row r="133" spans="1:18" ht="15" thickBot="1" x14ac:dyDescent="0.35">
      <c r="A133" s="7" t="s">
        <v>6</v>
      </c>
      <c r="B133" s="126" t="s">
        <v>161</v>
      </c>
      <c r="C133" s="125" t="s">
        <v>102</v>
      </c>
      <c r="D133" s="125" t="s">
        <v>102</v>
      </c>
      <c r="E133" s="125" t="s">
        <v>102</v>
      </c>
      <c r="F133" s="125" t="s">
        <v>158</v>
      </c>
      <c r="G133" s="125" t="s">
        <v>158</v>
      </c>
      <c r="H133" s="125" t="s">
        <v>158</v>
      </c>
      <c r="I133" s="125" t="s">
        <v>158</v>
      </c>
      <c r="J133" s="125" t="s">
        <v>158</v>
      </c>
      <c r="K133" s="125" t="s">
        <v>158</v>
      </c>
      <c r="L133" s="125" t="s">
        <v>158</v>
      </c>
      <c r="M133" s="125" t="s">
        <v>158</v>
      </c>
      <c r="N133" s="125" t="s">
        <v>158</v>
      </c>
      <c r="P133" s="32" t="s">
        <v>159</v>
      </c>
      <c r="Q133" s="37"/>
      <c r="R133" s="37"/>
    </row>
    <row r="134" spans="1:18" x14ac:dyDescent="0.3">
      <c r="A134" t="str">
        <f t="shared" ref="A134:A149" si="89">A9</f>
        <v>PROPERTY TAX</v>
      </c>
      <c r="B134" s="95">
        <f>SUM(C134:N134)</f>
        <v>558213162</v>
      </c>
      <c r="C134" s="124">
        <f>764421+1783643</f>
        <v>2548064</v>
      </c>
      <c r="D134" s="96">
        <f>935763+1030572</f>
        <v>1966335</v>
      </c>
      <c r="E134" s="96">
        <f>4542498+62465</f>
        <v>4604963</v>
      </c>
      <c r="F134" s="96">
        <f>ROUND(F9*103%,-2)</f>
        <v>121001100</v>
      </c>
      <c r="G134" s="96">
        <f t="shared" ref="G134:N134" si="90">ROUND(G9*103%,-2)</f>
        <v>157497500</v>
      </c>
      <c r="H134" s="96">
        <f t="shared" si="90"/>
        <v>5859400</v>
      </c>
      <c r="I134" s="96">
        <f t="shared" si="90"/>
        <v>4087900</v>
      </c>
      <c r="J134" s="96">
        <f t="shared" si="90"/>
        <v>5811400</v>
      </c>
      <c r="K134" s="96">
        <f t="shared" si="90"/>
        <v>47877000</v>
      </c>
      <c r="L134" s="96">
        <f t="shared" si="90"/>
        <v>197170600</v>
      </c>
      <c r="M134" s="96">
        <f t="shared" si="90"/>
        <v>4896500</v>
      </c>
      <c r="N134" s="96">
        <f t="shared" si="90"/>
        <v>4892400</v>
      </c>
    </row>
    <row r="135" spans="1:18" x14ac:dyDescent="0.3">
      <c r="A135" t="str">
        <f t="shared" si="89"/>
        <v>SALES &amp; USE TAX</v>
      </c>
      <c r="B135" s="95">
        <f t="shared" ref="B135:B139" si="91">SUM(C135:N135)</f>
        <v>0</v>
      </c>
      <c r="C135" s="96"/>
      <c r="D135" s="96"/>
      <c r="E135" s="96"/>
      <c r="F135" s="96"/>
      <c r="G135" s="96"/>
      <c r="H135" s="96"/>
      <c r="I135" s="96"/>
      <c r="J135" s="96"/>
      <c r="K135" s="96"/>
      <c r="L135" s="96"/>
      <c r="M135" s="96"/>
      <c r="N135" s="96"/>
    </row>
    <row r="136" spans="1:18" x14ac:dyDescent="0.3">
      <c r="A136" t="str">
        <f t="shared" si="89"/>
        <v>FEES &amp; PERMITS</v>
      </c>
      <c r="B136" s="95">
        <f t="shared" si="91"/>
        <v>0</v>
      </c>
      <c r="C136" s="96"/>
      <c r="D136" s="96"/>
      <c r="E136" s="96"/>
      <c r="F136" s="96"/>
      <c r="G136" s="96"/>
      <c r="H136" s="96"/>
      <c r="I136" s="96"/>
      <c r="J136" s="96"/>
      <c r="K136" s="96"/>
      <c r="L136" s="96"/>
      <c r="M136" s="96"/>
      <c r="N136" s="96"/>
    </row>
    <row r="137" spans="1:18" x14ac:dyDescent="0.3">
      <c r="A137" t="str">
        <f t="shared" si="89"/>
        <v>FISCAL DISPARITIES</v>
      </c>
      <c r="B137" s="95">
        <f t="shared" si="91"/>
        <v>102642800</v>
      </c>
      <c r="C137" s="96"/>
      <c r="D137" s="96"/>
      <c r="E137" s="96"/>
      <c r="F137" s="96">
        <f>F12*103%</f>
        <v>0</v>
      </c>
      <c r="G137" s="96">
        <f t="shared" ref="G137:N137" si="92">G12*103%</f>
        <v>0</v>
      </c>
      <c r="H137" s="96">
        <f t="shared" ref="H137" si="93">ROUND(H12*103%,-2)</f>
        <v>51321400</v>
      </c>
      <c r="I137" s="96">
        <f t="shared" si="92"/>
        <v>0</v>
      </c>
      <c r="J137" s="96">
        <f t="shared" si="92"/>
        <v>0</v>
      </c>
      <c r="K137" s="96">
        <f t="shared" si="92"/>
        <v>0</v>
      </c>
      <c r="L137" s="96">
        <f t="shared" si="92"/>
        <v>0</v>
      </c>
      <c r="M137" s="96">
        <f t="shared" ref="M137" si="94">ROUND(M12*103%,-2)</f>
        <v>51321400</v>
      </c>
      <c r="N137" s="96">
        <f t="shared" si="92"/>
        <v>0</v>
      </c>
    </row>
    <row r="138" spans="1:18" x14ac:dyDescent="0.3">
      <c r="A138" t="str">
        <f t="shared" si="89"/>
        <v>BUSINESS LICENSE TAXES</v>
      </c>
      <c r="B138" s="95">
        <f t="shared" si="91"/>
        <v>0</v>
      </c>
      <c r="C138" s="96"/>
      <c r="D138" s="96"/>
      <c r="E138" s="96"/>
      <c r="F138" s="96"/>
      <c r="G138" s="96"/>
      <c r="H138" s="96"/>
      <c r="I138" s="96"/>
      <c r="J138" s="96"/>
      <c r="K138" s="96"/>
      <c r="L138" s="96"/>
      <c r="M138" s="96"/>
      <c r="N138" s="96"/>
    </row>
    <row r="139" spans="1:18" x14ac:dyDescent="0.3">
      <c r="A139" t="str">
        <f t="shared" si="89"/>
        <v>INTRAGOVT SVC CHARGES</v>
      </c>
      <c r="B139" s="95">
        <f t="shared" si="91"/>
        <v>0</v>
      </c>
      <c r="C139" s="96"/>
      <c r="D139" s="96"/>
      <c r="E139" s="96"/>
      <c r="F139" s="96"/>
      <c r="G139" s="96"/>
      <c r="H139" s="96"/>
      <c r="I139" s="96"/>
      <c r="J139" s="96"/>
      <c r="K139" s="96"/>
      <c r="L139" s="96"/>
      <c r="M139" s="96"/>
      <c r="N139" s="96"/>
    </row>
    <row r="140" spans="1:18" x14ac:dyDescent="0.3">
      <c r="A140" t="str">
        <f t="shared" si="89"/>
        <v>INTERGOVT REVENUES</v>
      </c>
      <c r="B140" s="95">
        <f t="shared" ref="B140" si="95">SUM(C140:N140)</f>
        <v>242383168</v>
      </c>
      <c r="C140" s="96">
        <v>13130657</v>
      </c>
      <c r="D140" s="96">
        <v>28198346</v>
      </c>
      <c r="E140" s="96">
        <v>15790165</v>
      </c>
      <c r="F140" s="96">
        <f>ROUND(F15*101%,-2)</f>
        <v>12725700</v>
      </c>
      <c r="G140" s="96">
        <f t="shared" ref="G140:N140" si="96">ROUND(G15*101%,-2)</f>
        <v>21468800</v>
      </c>
      <c r="H140" s="96">
        <f t="shared" si="96"/>
        <v>27988800</v>
      </c>
      <c r="I140" s="96">
        <f t="shared" si="96"/>
        <v>28073900</v>
      </c>
      <c r="J140" s="96">
        <f t="shared" si="96"/>
        <v>23292800</v>
      </c>
      <c r="K140" s="96">
        <f t="shared" si="96"/>
        <v>15632000</v>
      </c>
      <c r="L140" s="96">
        <f t="shared" si="96"/>
        <v>15078900</v>
      </c>
      <c r="M140" s="96">
        <f t="shared" si="96"/>
        <v>18643600</v>
      </c>
      <c r="N140" s="96">
        <f t="shared" si="96"/>
        <v>22359500</v>
      </c>
    </row>
    <row r="141" spans="1:18" x14ac:dyDescent="0.3">
      <c r="A141" t="str">
        <f t="shared" si="89"/>
        <v>REIMBURSEMENTS</v>
      </c>
      <c r="B141" s="95">
        <f t="shared" ref="B141" si="97">SUM(C141:N141)</f>
        <v>0</v>
      </c>
      <c r="C141" s="96"/>
      <c r="D141" s="96"/>
      <c r="E141" s="96"/>
      <c r="F141" s="96"/>
      <c r="G141" s="96"/>
      <c r="H141" s="96"/>
      <c r="I141" s="96"/>
      <c r="J141" s="96"/>
      <c r="K141" s="96"/>
      <c r="L141" s="96"/>
      <c r="M141" s="96"/>
      <c r="N141" s="96"/>
    </row>
    <row r="142" spans="1:18" x14ac:dyDescent="0.3">
      <c r="A142" t="str">
        <f t="shared" si="89"/>
        <v>DONATIONS/CONTRIBS/ INV INCOME</v>
      </c>
      <c r="B142" s="95">
        <f t="shared" ref="B142:B149" si="98">SUM(C142:N142)</f>
        <v>5674163</v>
      </c>
      <c r="C142" s="96">
        <v>715183</v>
      </c>
      <c r="D142" s="96">
        <v>1226834</v>
      </c>
      <c r="E142" s="96">
        <v>355793</v>
      </c>
      <c r="F142" s="96">
        <v>250917</v>
      </c>
      <c r="G142" s="96">
        <v>264418</v>
      </c>
      <c r="H142" s="96">
        <v>377588</v>
      </c>
      <c r="I142" s="96">
        <v>306589</v>
      </c>
      <c r="J142" s="96">
        <v>843205</v>
      </c>
      <c r="K142" s="96">
        <v>515642</v>
      </c>
      <c r="L142" s="96">
        <v>226787</v>
      </c>
      <c r="M142" s="96">
        <v>240028</v>
      </c>
      <c r="N142" s="96">
        <v>351179</v>
      </c>
    </row>
    <row r="143" spans="1:18" x14ac:dyDescent="0.3">
      <c r="A143" t="str">
        <f t="shared" si="89"/>
        <v>FINES &amp; FORFEITURES</v>
      </c>
      <c r="B143" s="95">
        <f t="shared" si="98"/>
        <v>0</v>
      </c>
      <c r="C143" s="96"/>
      <c r="D143" s="96"/>
      <c r="E143" s="96"/>
      <c r="F143" s="96"/>
      <c r="G143" s="96"/>
      <c r="H143" s="96"/>
      <c r="I143" s="96"/>
      <c r="J143" s="96"/>
      <c r="K143" s="96"/>
      <c r="L143" s="96"/>
      <c r="M143" s="96"/>
      <c r="N143" s="96"/>
    </row>
    <row r="144" spans="1:18" x14ac:dyDescent="0.3">
      <c r="A144" t="str">
        <f t="shared" si="89"/>
        <v>USE OF MONEY &amp; PROPERTY</v>
      </c>
      <c r="B144" s="95">
        <f t="shared" si="98"/>
        <v>0</v>
      </c>
      <c r="C144" s="96"/>
      <c r="D144" s="96"/>
      <c r="E144" s="96"/>
      <c r="F144" s="96"/>
      <c r="G144" s="96"/>
      <c r="H144" s="96"/>
      <c r="I144" s="96"/>
      <c r="J144" s="96"/>
      <c r="K144" s="96"/>
      <c r="L144" s="96"/>
      <c r="M144" s="96"/>
      <c r="N144" s="96"/>
    </row>
    <row r="145" spans="1:18" x14ac:dyDescent="0.3">
      <c r="A145" t="str">
        <f t="shared" si="89"/>
        <v>OTHER SOURCES / INV MATURITIES</v>
      </c>
      <c r="B145" s="95">
        <f t="shared" si="98"/>
        <v>58198891</v>
      </c>
      <c r="C145" s="96">
        <v>16872000</v>
      </c>
      <c r="D145" s="96">
        <v>11085000</v>
      </c>
      <c r="E145" s="96">
        <v>6371000</v>
      </c>
      <c r="F145" s="96">
        <v>1945000</v>
      </c>
      <c r="G145" s="96">
        <v>3000000</v>
      </c>
      <c r="H145" s="96">
        <v>2000000</v>
      </c>
      <c r="I145" s="96">
        <v>1244000</v>
      </c>
      <c r="J145" s="96">
        <v>2470000</v>
      </c>
      <c r="K145" s="96">
        <v>6166891</v>
      </c>
      <c r="L145" s="96">
        <v>5000000</v>
      </c>
      <c r="M145" s="96">
        <v>450000</v>
      </c>
      <c r="N145" s="96">
        <v>1595000</v>
      </c>
    </row>
    <row r="146" spans="1:18" x14ac:dyDescent="0.3">
      <c r="A146" t="str">
        <f t="shared" si="89"/>
        <v>TRANSIT TAX</v>
      </c>
      <c r="B146" s="95">
        <f t="shared" si="98"/>
        <v>9329003</v>
      </c>
      <c r="C146" s="96">
        <v>1056355</v>
      </c>
      <c r="D146" s="96">
        <v>1203091</v>
      </c>
      <c r="E146" s="96">
        <v>944257</v>
      </c>
      <c r="F146" s="96">
        <v>870000</v>
      </c>
      <c r="G146" s="96">
        <f>ROUND(G21*60%,-2)</f>
        <v>602600</v>
      </c>
      <c r="H146" s="96">
        <f t="shared" ref="H146:N146" si="99">ROUND(H21*60%,-2)</f>
        <v>611100</v>
      </c>
      <c r="I146" s="96">
        <f t="shared" si="99"/>
        <v>647700</v>
      </c>
      <c r="J146" s="96">
        <f t="shared" si="99"/>
        <v>664700</v>
      </c>
      <c r="K146" s="96">
        <f t="shared" si="99"/>
        <v>734800</v>
      </c>
      <c r="L146" s="96">
        <f t="shared" si="99"/>
        <v>678700</v>
      </c>
      <c r="M146" s="96">
        <f t="shared" si="99"/>
        <v>664600</v>
      </c>
      <c r="N146" s="96">
        <f t="shared" si="99"/>
        <v>651100</v>
      </c>
    </row>
    <row r="147" spans="1:18" x14ac:dyDescent="0.3">
      <c r="A147" t="str">
        <f t="shared" si="89"/>
        <v>PARK</v>
      </c>
      <c r="B147" s="95">
        <f t="shared" si="98"/>
        <v>2729451</v>
      </c>
      <c r="C147" s="96">
        <v>260399</v>
      </c>
      <c r="D147" s="96">
        <v>114912</v>
      </c>
      <c r="E147" s="96">
        <v>67965</v>
      </c>
      <c r="F147" s="96">
        <f>ROUND(F22*103%,-2)-20000</f>
        <v>127200</v>
      </c>
      <c r="G147" s="96">
        <f t="shared" ref="G147" si="100">ROUND(G22*103%,-2)</f>
        <v>315200</v>
      </c>
      <c r="H147" s="96">
        <f>ROUND(H22*103%,-2)-275000</f>
        <v>515000</v>
      </c>
      <c r="I147" s="96">
        <f>ROUND(I22*103%,-2)-785000</f>
        <v>647400</v>
      </c>
      <c r="J147" s="96">
        <f>SUM(ROUND(J22*103%,-2)-525000)*75%</f>
        <v>346050</v>
      </c>
      <c r="K147" s="96">
        <f>SUM(ROUND(K22*103%,-2)-40000)*75%</f>
        <v>179025</v>
      </c>
      <c r="L147" s="96">
        <f>SUM(ROUND(L22*103%,-2))*75%</f>
        <v>81975</v>
      </c>
      <c r="M147" s="96">
        <f t="shared" ref="M147:N147" si="101">SUM(ROUND(M22*103%,-2))*75%</f>
        <v>13725</v>
      </c>
      <c r="N147" s="96">
        <f t="shared" si="101"/>
        <v>60600</v>
      </c>
    </row>
    <row r="148" spans="1:18" x14ac:dyDescent="0.3">
      <c r="A148" t="str">
        <f t="shared" si="89"/>
        <v>LIBRARY</v>
      </c>
      <c r="B148" s="95">
        <f t="shared" si="98"/>
        <v>746717</v>
      </c>
      <c r="C148" s="96">
        <v>41143</v>
      </c>
      <c r="D148" s="96">
        <v>163570</v>
      </c>
      <c r="E148" s="96">
        <v>17104</v>
      </c>
      <c r="F148" s="96">
        <f t="shared" ref="F148:N148" si="102">ROUND(F23*103%,-2)</f>
        <v>73700</v>
      </c>
      <c r="G148" s="96">
        <f t="shared" si="102"/>
        <v>27700</v>
      </c>
      <c r="H148" s="96">
        <f t="shared" si="102"/>
        <v>26300</v>
      </c>
      <c r="I148" s="96">
        <f t="shared" si="102"/>
        <v>33600</v>
      </c>
      <c r="J148" s="96">
        <f t="shared" si="102"/>
        <v>86300</v>
      </c>
      <c r="K148" s="96">
        <f t="shared" si="102"/>
        <v>141700</v>
      </c>
      <c r="L148" s="96">
        <f t="shared" si="102"/>
        <v>68400</v>
      </c>
      <c r="M148" s="96">
        <f t="shared" si="102"/>
        <v>28900</v>
      </c>
      <c r="N148" s="96">
        <f t="shared" si="102"/>
        <v>38300</v>
      </c>
    </row>
    <row r="149" spans="1:18" x14ac:dyDescent="0.3">
      <c r="A149" t="str">
        <f t="shared" si="89"/>
        <v>FINANCING PROCEEDS</v>
      </c>
      <c r="B149" s="95">
        <f t="shared" si="98"/>
        <v>11548502</v>
      </c>
      <c r="C149" s="96">
        <v>11548502</v>
      </c>
      <c r="D149" s="96"/>
      <c r="E149" s="96"/>
      <c r="F149" s="96"/>
      <c r="G149" s="96"/>
      <c r="H149" s="96"/>
      <c r="I149" s="96"/>
      <c r="J149" s="96"/>
      <c r="K149" s="96"/>
      <c r="L149" s="96"/>
      <c r="M149" s="96"/>
      <c r="N149" s="96"/>
    </row>
    <row r="150" spans="1:18" x14ac:dyDescent="0.3">
      <c r="A150" t="str">
        <f t="shared" ref="A150" si="103">A25</f>
        <v>OTHER NON-RECURRING SOURCES</v>
      </c>
      <c r="B150" s="95">
        <f t="shared" ref="B150" si="104">SUM(C150:N150)</f>
        <v>0</v>
      </c>
      <c r="C150" s="96"/>
      <c r="D150" s="96"/>
      <c r="E150" s="96"/>
      <c r="F150" s="96"/>
      <c r="G150" s="96"/>
      <c r="H150" s="96"/>
      <c r="I150" s="96"/>
      <c r="J150" s="96"/>
      <c r="K150" s="96"/>
      <c r="L150" s="96"/>
      <c r="M150" s="96"/>
      <c r="N150" s="96"/>
    </row>
    <row r="151" spans="1:18" ht="15" thickBot="1" x14ac:dyDescent="0.35">
      <c r="A151" s="35" t="s">
        <v>8</v>
      </c>
      <c r="B151" s="97">
        <f t="shared" ref="B151:N151" si="105">SUM(B134:B150)</f>
        <v>991465857</v>
      </c>
      <c r="C151" s="97">
        <f t="shared" si="105"/>
        <v>46172303</v>
      </c>
      <c r="D151" s="97">
        <f t="shared" si="105"/>
        <v>43958088</v>
      </c>
      <c r="E151" s="97">
        <f t="shared" si="105"/>
        <v>28151247</v>
      </c>
      <c r="F151" s="97">
        <f t="shared" si="105"/>
        <v>136993617</v>
      </c>
      <c r="G151" s="97">
        <f t="shared" si="105"/>
        <v>183176218</v>
      </c>
      <c r="H151" s="97">
        <f t="shared" si="105"/>
        <v>88699588</v>
      </c>
      <c r="I151" s="97">
        <f t="shared" si="105"/>
        <v>35041089</v>
      </c>
      <c r="J151" s="97">
        <f t="shared" si="105"/>
        <v>33514455</v>
      </c>
      <c r="K151" s="97">
        <f t="shared" si="105"/>
        <v>71247058</v>
      </c>
      <c r="L151" s="97">
        <f t="shared" si="105"/>
        <v>218305362</v>
      </c>
      <c r="M151" s="97">
        <f t="shared" si="105"/>
        <v>76258753</v>
      </c>
      <c r="N151" s="97">
        <f t="shared" si="105"/>
        <v>29948079</v>
      </c>
    </row>
    <row r="152" spans="1:18" ht="15" thickBot="1" x14ac:dyDescent="0.35">
      <c r="A152" s="7" t="s">
        <v>7</v>
      </c>
      <c r="B152" s="126" t="s">
        <v>161</v>
      </c>
      <c r="C152" s="125" t="s">
        <v>102</v>
      </c>
      <c r="D152" s="125" t="s">
        <v>102</v>
      </c>
      <c r="E152" s="125" t="s">
        <v>102</v>
      </c>
      <c r="F152" s="125" t="s">
        <v>158</v>
      </c>
      <c r="G152" s="125" t="s">
        <v>158</v>
      </c>
      <c r="H152" s="125" t="s">
        <v>158</v>
      </c>
      <c r="I152" s="125" t="s">
        <v>158</v>
      </c>
      <c r="J152" s="125" t="s">
        <v>158</v>
      </c>
      <c r="K152" s="125" t="s">
        <v>158</v>
      </c>
      <c r="L152" s="125" t="s">
        <v>158</v>
      </c>
      <c r="M152" s="125" t="s">
        <v>158</v>
      </c>
      <c r="N152" s="125" t="s">
        <v>158</v>
      </c>
      <c r="P152" s="32" t="s">
        <v>159</v>
      </c>
      <c r="Q152" s="37"/>
      <c r="R152" s="37"/>
    </row>
    <row r="153" spans="1:18" x14ac:dyDescent="0.3">
      <c r="A153" t="str">
        <f t="shared" ref="A153:A169" si="106">A28</f>
        <v>SALARIES &amp; WAGES</v>
      </c>
      <c r="B153" s="95">
        <f t="shared" ref="B153:B163" si="107">SUM(C153:N153)</f>
        <v>116122286</v>
      </c>
      <c r="C153" s="96">
        <v>9058597</v>
      </c>
      <c r="D153" s="96">
        <v>8998198</v>
      </c>
      <c r="E153" s="96">
        <v>8915491</v>
      </c>
      <c r="F153" s="96">
        <f>ROUND(E153,-3)</f>
        <v>8915000</v>
      </c>
      <c r="G153" s="96">
        <f>F153*1.5</f>
        <v>13372500</v>
      </c>
      <c r="H153" s="96">
        <f>$F153</f>
        <v>8915000</v>
      </c>
      <c r="I153" s="96">
        <f t="shared" ref="I153:N154" si="108">$F153</f>
        <v>8915000</v>
      </c>
      <c r="J153" s="96">
        <f t="shared" si="108"/>
        <v>8915000</v>
      </c>
      <c r="K153" s="96">
        <f t="shared" si="108"/>
        <v>8915000</v>
      </c>
      <c r="L153" s="96">
        <f>G153</f>
        <v>13372500</v>
      </c>
      <c r="M153" s="96">
        <f t="shared" si="108"/>
        <v>8915000</v>
      </c>
      <c r="N153" s="96">
        <f t="shared" si="108"/>
        <v>8915000</v>
      </c>
    </row>
    <row r="154" spans="1:18" x14ac:dyDescent="0.3">
      <c r="A154" t="str">
        <f t="shared" si="106"/>
        <v>BENEFITS</v>
      </c>
      <c r="B154" s="95">
        <f t="shared" si="107"/>
        <v>24579921</v>
      </c>
      <c r="C154" s="96">
        <v>1852765</v>
      </c>
      <c r="D154" s="96">
        <v>1948512</v>
      </c>
      <c r="E154" s="96">
        <v>1888644</v>
      </c>
      <c r="F154" s="96">
        <f>ROUND(E154,-3)</f>
        <v>1889000</v>
      </c>
      <c r="G154" s="96">
        <f>F154*1.5</f>
        <v>2833500</v>
      </c>
      <c r="H154" s="96">
        <f>$F154</f>
        <v>1889000</v>
      </c>
      <c r="I154" s="96">
        <f t="shared" si="108"/>
        <v>1889000</v>
      </c>
      <c r="J154" s="96">
        <f t="shared" si="108"/>
        <v>1889000</v>
      </c>
      <c r="K154" s="96">
        <f t="shared" si="108"/>
        <v>1889000</v>
      </c>
      <c r="L154" s="96">
        <f>G154</f>
        <v>2833500</v>
      </c>
      <c r="M154" s="96">
        <f t="shared" si="108"/>
        <v>1889000</v>
      </c>
      <c r="N154" s="96">
        <f t="shared" si="108"/>
        <v>1889000</v>
      </c>
    </row>
    <row r="155" spans="1:18" x14ac:dyDescent="0.3">
      <c r="A155" t="str">
        <f t="shared" si="106"/>
        <v>CONTRACTUAL SERVICES</v>
      </c>
      <c r="B155" s="95">
        <f t="shared" si="107"/>
        <v>245408479</v>
      </c>
      <c r="C155" s="96">
        <v>19274995</v>
      </c>
      <c r="D155" s="96">
        <v>19291908</v>
      </c>
      <c r="E155" s="96">
        <v>16940376</v>
      </c>
      <c r="F155" s="96">
        <f>ROUND(F30*103%,-2)</f>
        <v>19964600</v>
      </c>
      <c r="G155" s="96">
        <f t="shared" ref="G155:N155" si="109">ROUND(G30*103%,-2)</f>
        <v>17907400</v>
      </c>
      <c r="H155" s="96">
        <f t="shared" si="109"/>
        <v>17838000</v>
      </c>
      <c r="I155" s="96">
        <f t="shared" si="109"/>
        <v>27897500</v>
      </c>
      <c r="J155" s="96">
        <f t="shared" si="109"/>
        <v>24658600</v>
      </c>
      <c r="K155" s="96">
        <f t="shared" si="109"/>
        <v>26192700</v>
      </c>
      <c r="L155" s="96">
        <f t="shared" si="109"/>
        <v>23749300</v>
      </c>
      <c r="M155" s="96">
        <f t="shared" si="109"/>
        <v>17204300</v>
      </c>
      <c r="N155" s="96">
        <f t="shared" si="109"/>
        <v>14488800</v>
      </c>
    </row>
    <row r="156" spans="1:18" x14ac:dyDescent="0.3">
      <c r="A156" t="str">
        <f t="shared" si="106"/>
        <v>UTILITIES</v>
      </c>
      <c r="B156" s="95">
        <f t="shared" si="107"/>
        <v>0</v>
      </c>
      <c r="C156" s="96"/>
      <c r="D156" s="96"/>
      <c r="E156" s="96"/>
      <c r="F156" s="96"/>
      <c r="G156" s="96"/>
      <c r="H156" s="96"/>
      <c r="I156" s="96"/>
      <c r="J156" s="96"/>
      <c r="K156" s="96"/>
      <c r="L156" s="96"/>
      <c r="M156" s="96"/>
      <c r="N156" s="96"/>
    </row>
    <row r="157" spans="1:18" x14ac:dyDescent="0.3">
      <c r="A157" t="str">
        <f t="shared" si="106"/>
        <v>MAINTENANCE AND REPAIRS</v>
      </c>
      <c r="B157" s="95">
        <f t="shared" ref="B157" si="110">SUM(C157:N157)</f>
        <v>0</v>
      </c>
      <c r="C157" s="96"/>
      <c r="D157" s="96"/>
      <c r="E157" s="96"/>
      <c r="F157" s="96"/>
      <c r="G157" s="96"/>
      <c r="H157" s="96"/>
      <c r="I157" s="96"/>
      <c r="J157" s="96"/>
      <c r="K157" s="96"/>
      <c r="L157" s="96"/>
      <c r="M157" s="96"/>
      <c r="N157" s="96"/>
    </row>
    <row r="158" spans="1:18" x14ac:dyDescent="0.3">
      <c r="A158" t="str">
        <f t="shared" si="106"/>
        <v>FISCAL DISPARITIES</v>
      </c>
      <c r="B158" s="95">
        <f t="shared" ref="B158" si="111">SUM(C158:N158)</f>
        <v>69211600</v>
      </c>
      <c r="C158" s="96"/>
      <c r="D158" s="96"/>
      <c r="E158" s="96"/>
      <c r="F158" s="96">
        <f>F33*103%</f>
        <v>0</v>
      </c>
      <c r="G158" s="96">
        <f t="shared" ref="G158:N158" si="112">G33*103%</f>
        <v>0</v>
      </c>
      <c r="H158" s="96">
        <f t="shared" ref="H158" si="113">ROUND(H33*103%,-2)</f>
        <v>34605800</v>
      </c>
      <c r="I158" s="96">
        <f t="shared" si="112"/>
        <v>0</v>
      </c>
      <c r="J158" s="96">
        <f t="shared" si="112"/>
        <v>0</v>
      </c>
      <c r="K158" s="96">
        <f t="shared" si="112"/>
        <v>0</v>
      </c>
      <c r="L158" s="96">
        <f t="shared" si="112"/>
        <v>0</v>
      </c>
      <c r="M158" s="96">
        <f t="shared" ref="M158" si="114">ROUND(M33*103%,-2)</f>
        <v>34605800</v>
      </c>
      <c r="N158" s="96">
        <f t="shared" si="112"/>
        <v>0</v>
      </c>
    </row>
    <row r="159" spans="1:18" x14ac:dyDescent="0.3">
      <c r="A159" t="str">
        <f t="shared" si="106"/>
        <v>CAPITAL</v>
      </c>
      <c r="B159" s="95">
        <f t="shared" ref="B159:B160" si="115">SUM(C159:N159)</f>
        <v>0</v>
      </c>
      <c r="C159" s="96"/>
      <c r="D159" s="96"/>
      <c r="E159" s="96"/>
      <c r="F159" s="96"/>
      <c r="G159" s="96"/>
      <c r="H159" s="96"/>
      <c r="I159" s="96"/>
      <c r="J159" s="96"/>
      <c r="K159" s="96"/>
      <c r="L159" s="96"/>
      <c r="M159" s="96"/>
      <c r="N159" s="96"/>
    </row>
    <row r="160" spans="1:18" x14ac:dyDescent="0.3">
      <c r="A160" t="str">
        <f t="shared" si="106"/>
        <v>GRANTS</v>
      </c>
      <c r="B160" s="95">
        <f t="shared" si="115"/>
        <v>0</v>
      </c>
      <c r="C160" s="96"/>
      <c r="D160" s="96"/>
      <c r="E160" s="96"/>
      <c r="F160" s="96"/>
      <c r="G160" s="96"/>
      <c r="H160" s="96"/>
      <c r="I160" s="96"/>
      <c r="J160" s="96"/>
      <c r="K160" s="96"/>
      <c r="L160" s="96"/>
      <c r="M160" s="96"/>
      <c r="N160" s="96"/>
    </row>
    <row r="161" spans="1:14" x14ac:dyDescent="0.3">
      <c r="A161" t="str">
        <f t="shared" si="106"/>
        <v>TRANSFERS/OTHER</v>
      </c>
      <c r="B161" s="95">
        <f t="shared" si="107"/>
        <v>0</v>
      </c>
      <c r="C161" s="96"/>
      <c r="D161" s="96"/>
      <c r="E161" s="96"/>
      <c r="F161" s="96"/>
      <c r="G161" s="96"/>
      <c r="H161" s="96"/>
      <c r="I161" s="96"/>
      <c r="J161" s="96"/>
      <c r="K161" s="96"/>
      <c r="L161" s="96"/>
      <c r="M161" s="96"/>
      <c r="N161" s="96"/>
    </row>
    <row r="162" spans="1:14" x14ac:dyDescent="0.3">
      <c r="A162" t="str">
        <f t="shared" si="106"/>
        <v>MTGE/DEED/TAXES/FEES</v>
      </c>
      <c r="B162" s="95">
        <f t="shared" si="107"/>
        <v>15443863</v>
      </c>
      <c r="C162" s="96">
        <v>601669</v>
      </c>
      <c r="D162" s="96">
        <v>1011668</v>
      </c>
      <c r="E162" s="96">
        <v>1077626</v>
      </c>
      <c r="F162" s="96">
        <f t="shared" ref="F162:N162" si="116">ROUND(F37*103%,-2)</f>
        <v>1252200</v>
      </c>
      <c r="G162" s="96">
        <f t="shared" si="116"/>
        <v>1138300</v>
      </c>
      <c r="H162" s="96">
        <f t="shared" si="116"/>
        <v>2234000</v>
      </c>
      <c r="I162" s="96">
        <f t="shared" si="116"/>
        <v>7700</v>
      </c>
      <c r="J162" s="96">
        <f t="shared" si="116"/>
        <v>2350600</v>
      </c>
      <c r="K162" s="96">
        <f t="shared" si="116"/>
        <v>1705100</v>
      </c>
      <c r="L162" s="96">
        <f t="shared" si="116"/>
        <v>1672500</v>
      </c>
      <c r="M162" s="96">
        <f t="shared" si="116"/>
        <v>2355700</v>
      </c>
      <c r="N162" s="96">
        <f t="shared" si="116"/>
        <v>36800</v>
      </c>
    </row>
    <row r="163" spans="1:14" x14ac:dyDescent="0.3">
      <c r="A163" t="str">
        <f t="shared" si="106"/>
        <v>DEBT PYMTS</v>
      </c>
      <c r="B163" s="95">
        <f t="shared" si="107"/>
        <v>33978715</v>
      </c>
      <c r="C163" s="96">
        <v>229838</v>
      </c>
      <c r="D163" s="96">
        <v>31711544</v>
      </c>
      <c r="E163" s="96">
        <v>282333</v>
      </c>
      <c r="F163" s="96"/>
      <c r="G163" s="96"/>
      <c r="H163" s="96"/>
      <c r="I163" s="96">
        <v>15000</v>
      </c>
      <c r="J163" s="96">
        <v>1740000</v>
      </c>
      <c r="K163" s="96"/>
      <c r="L163" s="96"/>
      <c r="M163" s="96"/>
      <c r="N163" s="96"/>
    </row>
    <row r="164" spans="1:14" x14ac:dyDescent="0.3">
      <c r="A164" t="str">
        <f t="shared" si="106"/>
        <v>TAX DISTRIBUTION PYMTS</v>
      </c>
      <c r="B164" s="95">
        <f t="shared" ref="B164:B169" si="117">SUM(C164:N164)</f>
        <v>423052393</v>
      </c>
      <c r="C164" s="96">
        <v>3963493</v>
      </c>
      <c r="D164" s="96"/>
      <c r="E164" s="96"/>
      <c r="F164" s="96">
        <f t="shared" ref="F164:N164" si="118">ROUND(F39*103%,-2)</f>
        <v>0</v>
      </c>
      <c r="G164" s="96">
        <f t="shared" si="118"/>
        <v>48719000</v>
      </c>
      <c r="H164" s="96">
        <f t="shared" si="118"/>
        <v>70436600</v>
      </c>
      <c r="I164" s="96">
        <f t="shared" si="118"/>
        <v>105455800</v>
      </c>
      <c r="J164" s="96">
        <f t="shared" si="118"/>
        <v>0</v>
      </c>
      <c r="K164" s="96">
        <f t="shared" si="118"/>
        <v>0</v>
      </c>
      <c r="L164" s="96">
        <f t="shared" si="118"/>
        <v>43239900</v>
      </c>
      <c r="M164" s="96">
        <f t="shared" si="118"/>
        <v>45596500</v>
      </c>
      <c r="N164" s="96">
        <f t="shared" si="118"/>
        <v>105641100</v>
      </c>
    </row>
    <row r="165" spans="1:14" x14ac:dyDescent="0.3">
      <c r="A165" t="str">
        <f t="shared" si="106"/>
        <v xml:space="preserve">INVESTMENT PURCHASES </v>
      </c>
      <c r="B165" s="95">
        <f t="shared" si="117"/>
        <v>28633628</v>
      </c>
      <c r="C165" s="96">
        <v>2249086</v>
      </c>
      <c r="D165" s="96">
        <v>6020624</v>
      </c>
      <c r="E165" s="96">
        <v>20363918</v>
      </c>
      <c r="F165" s="96">
        <v>0</v>
      </c>
      <c r="G165" s="96">
        <v>0</v>
      </c>
      <c r="H165" s="96">
        <v>0</v>
      </c>
      <c r="I165" s="96">
        <v>0</v>
      </c>
      <c r="J165" s="96">
        <v>0</v>
      </c>
      <c r="K165" s="96">
        <v>0</v>
      </c>
      <c r="L165" s="96">
        <v>0</v>
      </c>
      <c r="M165" s="96">
        <v>0</v>
      </c>
      <c r="N165" s="96">
        <v>0</v>
      </c>
    </row>
    <row r="166" spans="1:14" x14ac:dyDescent="0.3">
      <c r="A166" t="str">
        <f t="shared" si="106"/>
        <v>OTHER EXPENSES/USES</v>
      </c>
      <c r="B166" s="95">
        <f t="shared" si="117"/>
        <v>0</v>
      </c>
      <c r="C166" s="96"/>
      <c r="D166" s="96"/>
      <c r="E166" s="96"/>
      <c r="F166" s="96">
        <f t="shared" ref="F166:N166" si="119">ROUND(F41*103%,-2)</f>
        <v>0</v>
      </c>
      <c r="G166" s="96">
        <f t="shared" si="119"/>
        <v>0</v>
      </c>
      <c r="H166" s="96">
        <f t="shared" si="119"/>
        <v>0</v>
      </c>
      <c r="I166" s="96">
        <f t="shared" si="119"/>
        <v>0</v>
      </c>
      <c r="J166" s="96">
        <f t="shared" si="119"/>
        <v>0</v>
      </c>
      <c r="K166" s="96">
        <f t="shared" si="119"/>
        <v>0</v>
      </c>
      <c r="L166" s="96">
        <f t="shared" si="119"/>
        <v>0</v>
      </c>
      <c r="M166" s="96">
        <f t="shared" si="119"/>
        <v>0</v>
      </c>
      <c r="N166" s="96">
        <f t="shared" si="119"/>
        <v>0</v>
      </c>
    </row>
    <row r="167" spans="1:14" x14ac:dyDescent="0.3">
      <c r="A167" t="str">
        <f t="shared" si="106"/>
        <v>OTHER EXPENSES/USES</v>
      </c>
      <c r="B167" s="95">
        <f t="shared" si="117"/>
        <v>0</v>
      </c>
      <c r="C167" s="96"/>
      <c r="D167" s="96"/>
      <c r="E167" s="96"/>
      <c r="F167" s="96">
        <f t="shared" ref="F167:N167" si="120">ROUND(F42*103%,-2)</f>
        <v>0</v>
      </c>
      <c r="G167" s="96">
        <f t="shared" si="120"/>
        <v>0</v>
      </c>
      <c r="H167" s="96">
        <f t="shared" si="120"/>
        <v>0</v>
      </c>
      <c r="I167" s="96">
        <f t="shared" si="120"/>
        <v>0</v>
      </c>
      <c r="J167" s="96">
        <f t="shared" si="120"/>
        <v>0</v>
      </c>
      <c r="K167" s="96">
        <f t="shared" si="120"/>
        <v>0</v>
      </c>
      <c r="L167" s="96">
        <f t="shared" si="120"/>
        <v>0</v>
      </c>
      <c r="M167" s="96">
        <f t="shared" si="120"/>
        <v>0</v>
      </c>
      <c r="N167" s="96">
        <f t="shared" si="120"/>
        <v>0</v>
      </c>
    </row>
    <row r="168" spans="1:14" x14ac:dyDescent="0.3">
      <c r="A168" t="str">
        <f t="shared" si="106"/>
        <v>OTHER EXPENSES/USES</v>
      </c>
      <c r="B168" s="95">
        <f t="shared" si="117"/>
        <v>0</v>
      </c>
      <c r="C168" s="96"/>
      <c r="D168" s="96"/>
      <c r="E168" s="96"/>
      <c r="F168" s="96">
        <f t="shared" ref="F168:N168" si="121">ROUND(F43*103%,-2)</f>
        <v>0</v>
      </c>
      <c r="G168" s="96">
        <f t="shared" si="121"/>
        <v>0</v>
      </c>
      <c r="H168" s="96">
        <f t="shared" si="121"/>
        <v>0</v>
      </c>
      <c r="I168" s="96">
        <f t="shared" si="121"/>
        <v>0</v>
      </c>
      <c r="J168" s="96">
        <f t="shared" si="121"/>
        <v>0</v>
      </c>
      <c r="K168" s="96">
        <f t="shared" si="121"/>
        <v>0</v>
      </c>
      <c r="L168" s="96">
        <f t="shared" si="121"/>
        <v>0</v>
      </c>
      <c r="M168" s="96">
        <f t="shared" si="121"/>
        <v>0</v>
      </c>
      <c r="N168" s="96">
        <f t="shared" si="121"/>
        <v>0</v>
      </c>
    </row>
    <row r="169" spans="1:14" x14ac:dyDescent="0.3">
      <c r="A169" t="str">
        <f t="shared" si="106"/>
        <v>OTHER NON-RECURRING USES</v>
      </c>
      <c r="B169" s="95">
        <f t="shared" si="117"/>
        <v>0</v>
      </c>
      <c r="C169" s="96"/>
      <c r="D169" s="96"/>
      <c r="E169" s="96"/>
      <c r="F169" s="96">
        <f t="shared" ref="F169:N169" si="122">ROUND(F44*103%,-2)</f>
        <v>0</v>
      </c>
      <c r="G169" s="96">
        <f t="shared" si="122"/>
        <v>0</v>
      </c>
      <c r="H169" s="96">
        <f t="shared" si="122"/>
        <v>0</v>
      </c>
      <c r="I169" s="96">
        <f t="shared" si="122"/>
        <v>0</v>
      </c>
      <c r="J169" s="96">
        <f t="shared" si="122"/>
        <v>0</v>
      </c>
      <c r="K169" s="96">
        <f t="shared" si="122"/>
        <v>0</v>
      </c>
      <c r="L169" s="96">
        <f t="shared" si="122"/>
        <v>0</v>
      </c>
      <c r="M169" s="96">
        <f t="shared" si="122"/>
        <v>0</v>
      </c>
      <c r="N169" s="96">
        <f t="shared" si="122"/>
        <v>0</v>
      </c>
    </row>
    <row r="170" spans="1:14" x14ac:dyDescent="0.3">
      <c r="A170" s="35" t="s">
        <v>9</v>
      </c>
      <c r="B170" s="106">
        <f>SUM(B153:B169)</f>
        <v>956430885</v>
      </c>
      <c r="C170" s="106">
        <f>SUM(C153:C169)</f>
        <v>37230443</v>
      </c>
      <c r="D170" s="106">
        <f t="shared" ref="D170" si="123">SUM(D153:D169)</f>
        <v>68982454</v>
      </c>
      <c r="E170" s="106">
        <f t="shared" ref="E170" si="124">SUM(E153:E169)</f>
        <v>49468388</v>
      </c>
      <c r="F170" s="106">
        <f t="shared" ref="F170" si="125">SUM(F153:F169)</f>
        <v>32020800</v>
      </c>
      <c r="G170" s="106">
        <f t="shared" ref="G170" si="126">SUM(G153:G169)</f>
        <v>83970700</v>
      </c>
      <c r="H170" s="106">
        <f t="shared" ref="H170" si="127">SUM(H153:H169)</f>
        <v>135918400</v>
      </c>
      <c r="I170" s="106">
        <f t="shared" ref="I170" si="128">SUM(I153:I169)</f>
        <v>144180000</v>
      </c>
      <c r="J170" s="106">
        <f t="shared" ref="J170" si="129">SUM(J153:J169)</f>
        <v>39553200</v>
      </c>
      <c r="K170" s="106">
        <f t="shared" ref="K170" si="130">SUM(K153:K169)</f>
        <v>38701800</v>
      </c>
      <c r="L170" s="106">
        <f t="shared" ref="L170" si="131">SUM(L153:L169)</f>
        <v>84867700</v>
      </c>
      <c r="M170" s="106">
        <f t="shared" ref="M170" si="132">SUM(M153:M169)</f>
        <v>110566300</v>
      </c>
      <c r="N170" s="106">
        <f t="shared" ref="N170" si="133">SUM(N153:N169)</f>
        <v>130970700</v>
      </c>
    </row>
    <row r="171" spans="1:14" ht="15" thickBot="1" x14ac:dyDescent="0.35">
      <c r="A171" s="36" t="s">
        <v>10</v>
      </c>
      <c r="B171" s="107">
        <f t="shared" ref="B171:N171" si="134">B151-B170</f>
        <v>35034972</v>
      </c>
      <c r="C171" s="107">
        <f t="shared" si="134"/>
        <v>8941860</v>
      </c>
      <c r="D171" s="107">
        <f t="shared" si="134"/>
        <v>-25024366</v>
      </c>
      <c r="E171" s="107">
        <f t="shared" si="134"/>
        <v>-21317141</v>
      </c>
      <c r="F171" s="107">
        <f t="shared" si="134"/>
        <v>104972817</v>
      </c>
      <c r="G171" s="107">
        <f t="shared" si="134"/>
        <v>99205518</v>
      </c>
      <c r="H171" s="107">
        <f t="shared" si="134"/>
        <v>-47218812</v>
      </c>
      <c r="I171" s="107">
        <f t="shared" si="134"/>
        <v>-109138911</v>
      </c>
      <c r="J171" s="107">
        <f t="shared" si="134"/>
        <v>-6038745</v>
      </c>
      <c r="K171" s="107">
        <f t="shared" si="134"/>
        <v>32545258</v>
      </c>
      <c r="L171" s="107">
        <f t="shared" si="134"/>
        <v>133437662</v>
      </c>
      <c r="M171" s="107">
        <f t="shared" si="134"/>
        <v>-34307547</v>
      </c>
      <c r="N171" s="107">
        <f t="shared" si="134"/>
        <v>-101022621</v>
      </c>
    </row>
    <row r="172" spans="1:14" x14ac:dyDescent="0.3">
      <c r="A172" s="6" t="s">
        <v>164</v>
      </c>
      <c r="B172" s="108"/>
      <c r="C172" s="108">
        <f t="shared" ref="C172:N172" si="135">(C130-C171)*-1</f>
        <v>29367414.489718292</v>
      </c>
      <c r="D172" s="108">
        <f t="shared" si="135"/>
        <v>-11960968.324626472</v>
      </c>
      <c r="E172" s="108">
        <f t="shared" si="135"/>
        <v>-19732343.994346756</v>
      </c>
      <c r="F172" s="108">
        <f t="shared" si="135"/>
        <v>1325345.0422132462</v>
      </c>
      <c r="G172" s="108">
        <f t="shared" si="135"/>
        <v>6885780.5938644111</v>
      </c>
      <c r="H172" s="108">
        <f t="shared" si="135"/>
        <v>16206681.479450628</v>
      </c>
      <c r="I172" s="108">
        <f t="shared" si="135"/>
        <v>-9953524.7213626206</v>
      </c>
      <c r="J172" s="108">
        <f t="shared" si="135"/>
        <v>2558332.4284804612</v>
      </c>
      <c r="K172" s="108">
        <f t="shared" si="135"/>
        <v>5906189.2094362527</v>
      </c>
      <c r="L172" s="108">
        <f t="shared" si="135"/>
        <v>7372550.7809715271</v>
      </c>
      <c r="M172" s="108">
        <f t="shared" si="135"/>
        <v>45781721.583100006</v>
      </c>
      <c r="N172" s="108">
        <f t="shared" si="135"/>
        <v>-59390101.566898957</v>
      </c>
    </row>
    <row r="173" spans="1:14" x14ac:dyDescent="0.3">
      <c r="A173" s="6" t="s">
        <v>165</v>
      </c>
      <c r="B173" s="108"/>
      <c r="C173" s="108">
        <f>C172</f>
        <v>29367414.489718292</v>
      </c>
      <c r="D173" s="108">
        <f>C173+D172</f>
        <v>17406446.16509182</v>
      </c>
      <c r="E173" s="108">
        <f t="shared" ref="E173:G173" si="136">D173+E172</f>
        <v>-2325897.8292549364</v>
      </c>
      <c r="F173" s="108">
        <f t="shared" si="136"/>
        <v>-1000552.7870416902</v>
      </c>
      <c r="G173" s="108">
        <f t="shared" si="136"/>
        <v>5885227.8068227209</v>
      </c>
      <c r="H173" s="108">
        <f t="shared" ref="H173" si="137">G173+H172</f>
        <v>22091909.286273349</v>
      </c>
      <c r="I173" s="108">
        <f t="shared" ref="I173" si="138">H173+I172</f>
        <v>12138384.564910728</v>
      </c>
      <c r="J173" s="108">
        <f t="shared" ref="J173" si="139">I173+J172</f>
        <v>14696716.99339119</v>
      </c>
      <c r="K173" s="108">
        <f t="shared" ref="K173" si="140">J173+K172</f>
        <v>20602906.202827442</v>
      </c>
      <c r="L173" s="108">
        <f t="shared" ref="L173" si="141">K173+L172</f>
        <v>27975456.98379897</v>
      </c>
      <c r="M173" s="108">
        <f t="shared" ref="M173" si="142">L173+M172</f>
        <v>73757178.566898972</v>
      </c>
      <c r="N173" s="108">
        <f t="shared" ref="N173" si="143">M173+N172</f>
        <v>14367077.000000015</v>
      </c>
    </row>
    <row r="174" spans="1:14" x14ac:dyDescent="0.3">
      <c r="A174" s="32" t="s">
        <v>170</v>
      </c>
      <c r="B174" s="102"/>
      <c r="C174" s="103"/>
      <c r="D174" s="103"/>
      <c r="E174" s="103"/>
      <c r="F174" s="103"/>
      <c r="G174" s="103"/>
      <c r="H174" s="103"/>
      <c r="I174" s="103"/>
      <c r="J174" s="103"/>
      <c r="K174" s="103"/>
      <c r="L174" s="103"/>
      <c r="M174" s="103"/>
      <c r="N174" s="103"/>
    </row>
    <row r="175" spans="1:14" x14ac:dyDescent="0.3">
      <c r="A175" s="33"/>
      <c r="B175" s="34" t="str">
        <f>CONCATENATE("TOTAL-",RIGHT(B89,4)+1)</f>
        <v>TOTAL-2026</v>
      </c>
      <c r="C175" s="105" t="str">
        <f>CONCATENATE(LEFT(C89,4),RIGHT(C89,4)+1)</f>
        <v>JUL-2025</v>
      </c>
      <c r="D175" s="105" t="str">
        <f t="shared" ref="D175:N175" si="144">CONCATENATE(LEFT(D89,4),RIGHT(D89,4)+1)</f>
        <v>AUG-2025</v>
      </c>
      <c r="E175" s="105" t="str">
        <f t="shared" si="144"/>
        <v>SEP-2025</v>
      </c>
      <c r="F175" s="105" t="str">
        <f t="shared" si="144"/>
        <v>OCT-2025</v>
      </c>
      <c r="G175" s="105" t="str">
        <f t="shared" si="144"/>
        <v>NOV-2025</v>
      </c>
      <c r="H175" s="105" t="str">
        <f t="shared" si="144"/>
        <v>DEC-2025</v>
      </c>
      <c r="I175" s="105" t="str">
        <f t="shared" si="144"/>
        <v>JAN-2026</v>
      </c>
      <c r="J175" s="105" t="str">
        <f t="shared" si="144"/>
        <v>FEB-2026</v>
      </c>
      <c r="K175" s="105" t="str">
        <f t="shared" si="144"/>
        <v>MAR-2026</v>
      </c>
      <c r="L175" s="105" t="str">
        <f t="shared" si="144"/>
        <v>APR-2026</v>
      </c>
      <c r="M175" s="105" t="str">
        <f t="shared" si="144"/>
        <v>MAY-2026</v>
      </c>
      <c r="N175" s="105" t="str">
        <f t="shared" si="144"/>
        <v>JUN-2026</v>
      </c>
    </row>
    <row r="176" spans="1:14" x14ac:dyDescent="0.3">
      <c r="A176" s="7" t="s">
        <v>6</v>
      </c>
    </row>
    <row r="177" spans="1:14" x14ac:dyDescent="0.3">
      <c r="A177" t="str">
        <f>A9</f>
        <v>PROPERTY TAX</v>
      </c>
      <c r="B177" s="95">
        <f>SUM(C177:N177)</f>
        <v>553918994</v>
      </c>
      <c r="C177" s="96">
        <f>C93</f>
        <v>3736996.5840561036</v>
      </c>
      <c r="D177" s="96">
        <f t="shared" ref="D177:N177" si="145">D93</f>
        <v>1967494.0796100977</v>
      </c>
      <c r="E177" s="96">
        <f t="shared" si="145"/>
        <v>8716273.4906834941</v>
      </c>
      <c r="F177" s="96">
        <f t="shared" si="145"/>
        <v>121025500.12074737</v>
      </c>
      <c r="G177" s="96">
        <f t="shared" si="145"/>
        <v>152310223.47702205</v>
      </c>
      <c r="H177" s="96">
        <f t="shared" si="145"/>
        <v>5758162.1952686682</v>
      </c>
      <c r="I177" s="96">
        <f t="shared" si="145"/>
        <v>4226393.3894069279</v>
      </c>
      <c r="J177" s="96">
        <f t="shared" si="145"/>
        <v>5523189.450137184</v>
      </c>
      <c r="K177" s="96">
        <f t="shared" si="145"/>
        <v>46558764.574297406</v>
      </c>
      <c r="L177" s="96">
        <f t="shared" si="145"/>
        <v>193518335.67282352</v>
      </c>
      <c r="M177" s="96">
        <f t="shared" si="145"/>
        <v>6043653.7899491796</v>
      </c>
      <c r="N177" s="96">
        <f t="shared" si="145"/>
        <v>4534007.1759979762</v>
      </c>
    </row>
    <row r="178" spans="1:14" x14ac:dyDescent="0.3">
      <c r="A178" t="str">
        <f t="shared" ref="A178:A193" si="146">A10</f>
        <v>SALES &amp; USE TAX</v>
      </c>
      <c r="B178" s="95">
        <f t="shared" ref="B178:B193" si="147">SUM(C178:N178)</f>
        <v>0</v>
      </c>
      <c r="C178" s="96">
        <f t="shared" ref="C178:N178" si="148">C94</f>
        <v>0</v>
      </c>
      <c r="D178" s="96">
        <f t="shared" si="148"/>
        <v>0</v>
      </c>
      <c r="E178" s="96">
        <f t="shared" si="148"/>
        <v>0</v>
      </c>
      <c r="F178" s="96">
        <f t="shared" si="148"/>
        <v>0</v>
      </c>
      <c r="G178" s="96">
        <f t="shared" si="148"/>
        <v>0</v>
      </c>
      <c r="H178" s="96">
        <f t="shared" si="148"/>
        <v>0</v>
      </c>
      <c r="I178" s="96">
        <f t="shared" si="148"/>
        <v>0</v>
      </c>
      <c r="J178" s="96">
        <f t="shared" si="148"/>
        <v>0</v>
      </c>
      <c r="K178" s="96">
        <f t="shared" si="148"/>
        <v>0</v>
      </c>
      <c r="L178" s="96">
        <f t="shared" si="148"/>
        <v>0</v>
      </c>
      <c r="M178" s="96">
        <f t="shared" si="148"/>
        <v>0</v>
      </c>
      <c r="N178" s="96">
        <f t="shared" si="148"/>
        <v>0</v>
      </c>
    </row>
    <row r="179" spans="1:14" x14ac:dyDescent="0.3">
      <c r="A179" t="str">
        <f t="shared" si="146"/>
        <v>FEES &amp; PERMITS</v>
      </c>
      <c r="B179" s="95">
        <f t="shared" si="147"/>
        <v>0</v>
      </c>
      <c r="C179" s="96">
        <f t="shared" ref="C179:N179" si="149">C95</f>
        <v>0</v>
      </c>
      <c r="D179" s="96">
        <f t="shared" si="149"/>
        <v>0</v>
      </c>
      <c r="E179" s="96">
        <f t="shared" si="149"/>
        <v>0</v>
      </c>
      <c r="F179" s="96">
        <f t="shared" si="149"/>
        <v>0</v>
      </c>
      <c r="G179" s="96">
        <f t="shared" si="149"/>
        <v>0</v>
      </c>
      <c r="H179" s="96">
        <f t="shared" si="149"/>
        <v>0</v>
      </c>
      <c r="I179" s="96">
        <f t="shared" si="149"/>
        <v>0</v>
      </c>
      <c r="J179" s="96">
        <f t="shared" si="149"/>
        <v>0</v>
      </c>
      <c r="K179" s="96">
        <f t="shared" si="149"/>
        <v>0</v>
      </c>
      <c r="L179" s="96">
        <f t="shared" si="149"/>
        <v>0</v>
      </c>
      <c r="M179" s="96">
        <f t="shared" si="149"/>
        <v>0</v>
      </c>
      <c r="N179" s="96">
        <f t="shared" si="149"/>
        <v>0</v>
      </c>
    </row>
    <row r="180" spans="1:14" x14ac:dyDescent="0.3">
      <c r="A180" t="str">
        <f t="shared" si="146"/>
        <v>FISCAL DISPARITIES</v>
      </c>
      <c r="B180" s="95">
        <f t="shared" si="147"/>
        <v>102628560</v>
      </c>
      <c r="C180" s="96">
        <f t="shared" ref="C180:N180" si="150">C96</f>
        <v>0</v>
      </c>
      <c r="D180" s="96">
        <f t="shared" si="150"/>
        <v>0</v>
      </c>
      <c r="E180" s="96">
        <f t="shared" si="150"/>
        <v>0</v>
      </c>
      <c r="F180" s="96">
        <f t="shared" si="150"/>
        <v>0</v>
      </c>
      <c r="G180" s="96">
        <f t="shared" si="150"/>
        <v>0</v>
      </c>
      <c r="H180" s="96">
        <f t="shared" si="150"/>
        <v>50085130.10097789</v>
      </c>
      <c r="I180" s="96">
        <f t="shared" si="150"/>
        <v>1229152.5120708353</v>
      </c>
      <c r="J180" s="96">
        <f t="shared" si="150"/>
        <v>0</v>
      </c>
      <c r="K180" s="96">
        <f t="shared" si="150"/>
        <v>0</v>
      </c>
      <c r="L180" s="96">
        <f t="shared" si="150"/>
        <v>0</v>
      </c>
      <c r="M180" s="96">
        <f t="shared" si="150"/>
        <v>51314277.386951275</v>
      </c>
      <c r="N180" s="96">
        <f t="shared" si="150"/>
        <v>0</v>
      </c>
    </row>
    <row r="181" spans="1:14" x14ac:dyDescent="0.3">
      <c r="A181" t="str">
        <f t="shared" si="146"/>
        <v>BUSINESS LICENSE TAXES</v>
      </c>
      <c r="B181" s="95">
        <f t="shared" si="147"/>
        <v>0</v>
      </c>
      <c r="C181" s="96">
        <f t="shared" ref="C181:N181" si="151">C97</f>
        <v>0</v>
      </c>
      <c r="D181" s="96">
        <f t="shared" si="151"/>
        <v>0</v>
      </c>
      <c r="E181" s="96">
        <f t="shared" si="151"/>
        <v>0</v>
      </c>
      <c r="F181" s="96">
        <f t="shared" si="151"/>
        <v>0</v>
      </c>
      <c r="G181" s="96">
        <f t="shared" si="151"/>
        <v>0</v>
      </c>
      <c r="H181" s="96">
        <f t="shared" si="151"/>
        <v>0</v>
      </c>
      <c r="I181" s="96">
        <f t="shared" si="151"/>
        <v>0</v>
      </c>
      <c r="J181" s="96">
        <f t="shared" si="151"/>
        <v>0</v>
      </c>
      <c r="K181" s="96">
        <f t="shared" si="151"/>
        <v>0</v>
      </c>
      <c r="L181" s="96">
        <f t="shared" si="151"/>
        <v>0</v>
      </c>
      <c r="M181" s="96">
        <f t="shared" si="151"/>
        <v>0</v>
      </c>
      <c r="N181" s="96">
        <f t="shared" si="151"/>
        <v>0</v>
      </c>
    </row>
    <row r="182" spans="1:14" x14ac:dyDescent="0.3">
      <c r="A182" t="str">
        <f t="shared" si="146"/>
        <v>INTRAGOVT SVC CHARGES</v>
      </c>
      <c r="B182" s="95">
        <f t="shared" si="147"/>
        <v>0</v>
      </c>
      <c r="C182" s="96">
        <f t="shared" ref="C182:N182" si="152">C98</f>
        <v>0</v>
      </c>
      <c r="D182" s="96">
        <f t="shared" si="152"/>
        <v>0</v>
      </c>
      <c r="E182" s="96">
        <f t="shared" si="152"/>
        <v>0</v>
      </c>
      <c r="F182" s="96">
        <f t="shared" si="152"/>
        <v>0</v>
      </c>
      <c r="G182" s="96">
        <f t="shared" si="152"/>
        <v>0</v>
      </c>
      <c r="H182" s="96">
        <f t="shared" si="152"/>
        <v>0</v>
      </c>
      <c r="I182" s="96">
        <f t="shared" si="152"/>
        <v>0</v>
      </c>
      <c r="J182" s="96">
        <f t="shared" si="152"/>
        <v>0</v>
      </c>
      <c r="K182" s="96">
        <f t="shared" si="152"/>
        <v>0</v>
      </c>
      <c r="L182" s="96">
        <f t="shared" si="152"/>
        <v>0</v>
      </c>
      <c r="M182" s="96">
        <f t="shared" si="152"/>
        <v>0</v>
      </c>
      <c r="N182" s="96">
        <f t="shared" si="152"/>
        <v>0</v>
      </c>
    </row>
    <row r="183" spans="1:14" x14ac:dyDescent="0.3">
      <c r="A183" t="str">
        <f t="shared" si="146"/>
        <v>INTERGOVT REVENUES</v>
      </c>
      <c r="B183" s="95">
        <f t="shared" si="147"/>
        <v>248583199.80000001</v>
      </c>
      <c r="C183" s="96">
        <f t="shared" ref="C183:N183" si="153">C99*1.01</f>
        <v>16202519.99225386</v>
      </c>
      <c r="D183" s="96">
        <f t="shared" si="153"/>
        <v>26544892.609666757</v>
      </c>
      <c r="E183" s="96">
        <f t="shared" si="153"/>
        <v>18824444.354062628</v>
      </c>
      <c r="F183" s="96">
        <f t="shared" si="153"/>
        <v>15022129.41933226</v>
      </c>
      <c r="G183" s="96">
        <f t="shared" si="153"/>
        <v>23639416.756006878</v>
      </c>
      <c r="H183" s="96">
        <f t="shared" si="153"/>
        <v>20721129.159123842</v>
      </c>
      <c r="I183" s="96">
        <f t="shared" si="153"/>
        <v>30707811.93720882</v>
      </c>
      <c r="J183" s="96">
        <f t="shared" si="153"/>
        <v>23015768.756740637</v>
      </c>
      <c r="K183" s="96">
        <f t="shared" si="153"/>
        <v>14730889.537784602</v>
      </c>
      <c r="L183" s="96">
        <f t="shared" si="153"/>
        <v>15714115.501929127</v>
      </c>
      <c r="M183" s="96">
        <f t="shared" si="153"/>
        <v>21359791.638698936</v>
      </c>
      <c r="N183" s="96">
        <f t="shared" si="153"/>
        <v>22100290.137191653</v>
      </c>
    </row>
    <row r="184" spans="1:14" x14ac:dyDescent="0.3">
      <c r="A184" t="str">
        <f t="shared" si="146"/>
        <v>REIMBURSEMENTS</v>
      </c>
      <c r="B184" s="95">
        <f t="shared" si="147"/>
        <v>0</v>
      </c>
      <c r="C184" s="96">
        <f t="shared" ref="C184:N184" si="154">C100</f>
        <v>0</v>
      </c>
      <c r="D184" s="96">
        <f t="shared" si="154"/>
        <v>0</v>
      </c>
      <c r="E184" s="96">
        <f t="shared" si="154"/>
        <v>0</v>
      </c>
      <c r="F184" s="96">
        <f t="shared" si="154"/>
        <v>0</v>
      </c>
      <c r="G184" s="96">
        <f t="shared" si="154"/>
        <v>0</v>
      </c>
      <c r="H184" s="96">
        <f t="shared" si="154"/>
        <v>0</v>
      </c>
      <c r="I184" s="96">
        <f t="shared" si="154"/>
        <v>0</v>
      </c>
      <c r="J184" s="96">
        <f t="shared" si="154"/>
        <v>0</v>
      </c>
      <c r="K184" s="96">
        <f t="shared" si="154"/>
        <v>0</v>
      </c>
      <c r="L184" s="96">
        <f t="shared" si="154"/>
        <v>0</v>
      </c>
      <c r="M184" s="96">
        <f t="shared" si="154"/>
        <v>0</v>
      </c>
      <c r="N184" s="96">
        <f t="shared" si="154"/>
        <v>0</v>
      </c>
    </row>
    <row r="185" spans="1:14" x14ac:dyDescent="0.3">
      <c r="A185" t="str">
        <f t="shared" si="146"/>
        <v>DONATIONS/CONTRIBS/ INV INCOME</v>
      </c>
      <c r="B185" s="95">
        <f t="shared" si="147"/>
        <v>4376965</v>
      </c>
      <c r="C185" s="96">
        <v>310127</v>
      </c>
      <c r="D185" s="96">
        <v>907608</v>
      </c>
      <c r="E185" s="96">
        <v>306422</v>
      </c>
      <c r="F185" s="96">
        <v>235580</v>
      </c>
      <c r="G185" s="96">
        <v>271341</v>
      </c>
      <c r="H185" s="96">
        <v>320284</v>
      </c>
      <c r="I185" s="96">
        <v>233799</v>
      </c>
      <c r="J185" s="96">
        <v>738039</v>
      </c>
      <c r="K185" s="96">
        <v>267045</v>
      </c>
      <c r="L185" s="96">
        <v>233853</v>
      </c>
      <c r="M185" s="96">
        <v>268482</v>
      </c>
      <c r="N185" s="96">
        <v>284385</v>
      </c>
    </row>
    <row r="186" spans="1:14" x14ac:dyDescent="0.3">
      <c r="A186" t="str">
        <f t="shared" si="146"/>
        <v>FINES &amp; FORFEITURES</v>
      </c>
      <c r="B186" s="95">
        <f t="shared" si="147"/>
        <v>0</v>
      </c>
      <c r="C186" s="96">
        <f t="shared" ref="C186:N186" si="155">C102</f>
        <v>0</v>
      </c>
      <c r="D186" s="96">
        <f t="shared" si="155"/>
        <v>0</v>
      </c>
      <c r="E186" s="96">
        <f t="shared" si="155"/>
        <v>0</v>
      </c>
      <c r="F186" s="96">
        <f t="shared" si="155"/>
        <v>0</v>
      </c>
      <c r="G186" s="96">
        <f t="shared" si="155"/>
        <v>0</v>
      </c>
      <c r="H186" s="96">
        <f t="shared" si="155"/>
        <v>0</v>
      </c>
      <c r="I186" s="96">
        <f t="shared" si="155"/>
        <v>0</v>
      </c>
      <c r="J186" s="96">
        <f t="shared" si="155"/>
        <v>0</v>
      </c>
      <c r="K186" s="96">
        <f t="shared" si="155"/>
        <v>0</v>
      </c>
      <c r="L186" s="96">
        <f t="shared" si="155"/>
        <v>0</v>
      </c>
      <c r="M186" s="96">
        <f t="shared" si="155"/>
        <v>0</v>
      </c>
      <c r="N186" s="96">
        <f t="shared" si="155"/>
        <v>0</v>
      </c>
    </row>
    <row r="187" spans="1:14" x14ac:dyDescent="0.3">
      <c r="A187" t="str">
        <f t="shared" si="146"/>
        <v>USE OF MONEY &amp; PROPERTY</v>
      </c>
      <c r="B187" s="95">
        <f t="shared" si="147"/>
        <v>0</v>
      </c>
      <c r="C187" s="96">
        <f t="shared" ref="C187:N187" si="156">C103</f>
        <v>0</v>
      </c>
      <c r="D187" s="96">
        <f t="shared" si="156"/>
        <v>0</v>
      </c>
      <c r="E187" s="96">
        <f t="shared" si="156"/>
        <v>0</v>
      </c>
      <c r="F187" s="96">
        <f t="shared" si="156"/>
        <v>0</v>
      </c>
      <c r="G187" s="96">
        <f t="shared" si="156"/>
        <v>0</v>
      </c>
      <c r="H187" s="96">
        <f t="shared" si="156"/>
        <v>0</v>
      </c>
      <c r="I187" s="96">
        <f t="shared" si="156"/>
        <v>0</v>
      </c>
      <c r="J187" s="96">
        <f t="shared" si="156"/>
        <v>0</v>
      </c>
      <c r="K187" s="96">
        <f t="shared" si="156"/>
        <v>0</v>
      </c>
      <c r="L187" s="96">
        <f t="shared" si="156"/>
        <v>0</v>
      </c>
      <c r="M187" s="96">
        <f t="shared" si="156"/>
        <v>0</v>
      </c>
      <c r="N187" s="96">
        <f t="shared" si="156"/>
        <v>0</v>
      </c>
    </row>
    <row r="188" spans="1:14" x14ac:dyDescent="0.3">
      <c r="A188" t="str">
        <f t="shared" si="146"/>
        <v>OTHER SOURCES / INV MATURITIES</v>
      </c>
      <c r="B188" s="95">
        <f t="shared" si="147"/>
        <v>43937000</v>
      </c>
      <c r="C188" s="96">
        <v>8447000</v>
      </c>
      <c r="D188" s="96">
        <f>10355000+2000000</f>
        <v>12355000</v>
      </c>
      <c r="E188" s="96">
        <f>2445000+8800000</f>
        <v>11245000</v>
      </c>
      <c r="F188" s="96">
        <f t="shared" ref="F188:L188" si="157">F104</f>
        <v>0</v>
      </c>
      <c r="G188" s="96">
        <f t="shared" si="157"/>
        <v>0</v>
      </c>
      <c r="H188" s="96">
        <v>2000000</v>
      </c>
      <c r="I188" s="96">
        <v>2475000</v>
      </c>
      <c r="J188" s="96">
        <v>965000</v>
      </c>
      <c r="K188" s="96">
        <f t="shared" si="157"/>
        <v>0</v>
      </c>
      <c r="L188" s="96">
        <f t="shared" si="157"/>
        <v>0</v>
      </c>
      <c r="M188" s="96">
        <v>6000000</v>
      </c>
      <c r="N188" s="96">
        <v>450000</v>
      </c>
    </row>
    <row r="189" spans="1:14" x14ac:dyDescent="0.3">
      <c r="A189" t="str">
        <f t="shared" si="146"/>
        <v>TRANSIT TAX</v>
      </c>
      <c r="B189" s="95">
        <f t="shared" si="147"/>
        <v>12000000.000000002</v>
      </c>
      <c r="C189" s="96">
        <f t="shared" ref="C189:N189" si="158">C105</f>
        <v>1009131.8033927582</v>
      </c>
      <c r="D189" s="96">
        <f t="shared" si="158"/>
        <v>1022769.554047266</v>
      </c>
      <c r="E189" s="96">
        <f t="shared" si="158"/>
        <v>889997.9578856834</v>
      </c>
      <c r="F189" s="96">
        <f t="shared" si="158"/>
        <v>779484.21403646725</v>
      </c>
      <c r="G189" s="96">
        <f t="shared" si="158"/>
        <v>970540.65892414039</v>
      </c>
      <c r="H189" s="96">
        <f t="shared" si="158"/>
        <v>943646.49498718767</v>
      </c>
      <c r="I189" s="96">
        <f t="shared" si="158"/>
        <v>1031123.4110891377</v>
      </c>
      <c r="J189" s="96">
        <f t="shared" si="158"/>
        <v>945454.88374252664</v>
      </c>
      <c r="K189" s="96">
        <f t="shared" si="158"/>
        <v>1231847.6474871889</v>
      </c>
      <c r="L189" s="96">
        <f t="shared" si="158"/>
        <v>1079250.4596609564</v>
      </c>
      <c r="M189" s="96">
        <f t="shared" si="158"/>
        <v>1048741.9880149583</v>
      </c>
      <c r="N189" s="96">
        <f t="shared" si="158"/>
        <v>1048010.9267317293</v>
      </c>
    </row>
    <row r="190" spans="1:14" x14ac:dyDescent="0.3">
      <c r="A190" t="str">
        <f t="shared" si="146"/>
        <v>PARK</v>
      </c>
      <c r="B190" s="95">
        <f t="shared" si="147"/>
        <v>5007943.4300000006</v>
      </c>
      <c r="C190" s="96">
        <f>C106*1.03</f>
        <v>240121.92970850019</v>
      </c>
      <c r="D190" s="96">
        <f t="shared" ref="D190:N191" si="159">D106*1.03</f>
        <v>122078.6183055537</v>
      </c>
      <c r="E190" s="96">
        <f t="shared" si="159"/>
        <v>111500.16490600885</v>
      </c>
      <c r="F190" s="96">
        <f t="shared" si="159"/>
        <v>140672.70108596893</v>
      </c>
      <c r="G190" s="96">
        <f t="shared" si="159"/>
        <v>371964.13224482047</v>
      </c>
      <c r="H190" s="96">
        <f t="shared" si="159"/>
        <v>833658.9961093677</v>
      </c>
      <c r="I190" s="96">
        <f t="shared" si="159"/>
        <v>1509152.5463719619</v>
      </c>
      <c r="J190" s="96">
        <f t="shared" si="159"/>
        <v>1087524.2826826542</v>
      </c>
      <c r="K190" s="96">
        <f t="shared" si="159"/>
        <v>334263.51184910384</v>
      </c>
      <c r="L190" s="96">
        <f t="shared" si="159"/>
        <v>140607.26962099955</v>
      </c>
      <c r="M190" s="96">
        <f t="shared" si="159"/>
        <v>28171.269812655584</v>
      </c>
      <c r="N190" s="96">
        <f t="shared" si="159"/>
        <v>88228.00730240492</v>
      </c>
    </row>
    <row r="191" spans="1:14" x14ac:dyDescent="0.3">
      <c r="A191" t="str">
        <f t="shared" si="146"/>
        <v>LIBRARY</v>
      </c>
      <c r="B191" s="95">
        <f t="shared" si="147"/>
        <v>662904.91000000015</v>
      </c>
      <c r="C191" s="96">
        <f>C107*1.03</f>
        <v>39462.088854483714</v>
      </c>
      <c r="D191" s="96">
        <f t="shared" si="159"/>
        <v>25539.414293645215</v>
      </c>
      <c r="E191" s="96">
        <f t="shared" si="159"/>
        <v>89882.972663800785</v>
      </c>
      <c r="F191" s="96">
        <f t="shared" si="159"/>
        <v>74393.117435301538</v>
      </c>
      <c r="G191" s="96">
        <f t="shared" si="159"/>
        <v>32124.07558192045</v>
      </c>
      <c r="H191" s="96">
        <f t="shared" si="159"/>
        <v>27534.102661732391</v>
      </c>
      <c r="I191" s="96">
        <f t="shared" si="159"/>
        <v>32731.970677892659</v>
      </c>
      <c r="J191" s="96">
        <f t="shared" si="159"/>
        <v>68865.755679300433</v>
      </c>
      <c r="K191" s="96">
        <f t="shared" si="159"/>
        <v>84455.71027180196</v>
      </c>
      <c r="L191" s="96">
        <f t="shared" si="159"/>
        <v>100458.05338995875</v>
      </c>
      <c r="M191" s="96">
        <f t="shared" si="159"/>
        <v>52661.649780576539</v>
      </c>
      <c r="N191" s="96">
        <f t="shared" si="159"/>
        <v>34795.998709585583</v>
      </c>
    </row>
    <row r="192" spans="1:14" x14ac:dyDescent="0.3">
      <c r="A192" t="str">
        <f t="shared" si="146"/>
        <v>FINANCING PROCEEDS</v>
      </c>
      <c r="B192" s="95">
        <f t="shared" si="147"/>
        <v>11548502</v>
      </c>
      <c r="C192" s="96">
        <f t="shared" ref="C192:N192" si="160">C108</f>
        <v>0</v>
      </c>
      <c r="D192" s="96">
        <f t="shared" si="160"/>
        <v>0</v>
      </c>
      <c r="E192" s="96">
        <f t="shared" si="160"/>
        <v>0</v>
      </c>
      <c r="F192" s="96">
        <f t="shared" si="160"/>
        <v>0</v>
      </c>
      <c r="G192" s="96">
        <f t="shared" si="160"/>
        <v>0</v>
      </c>
      <c r="H192" s="96">
        <f t="shared" si="160"/>
        <v>0</v>
      </c>
      <c r="I192" s="96">
        <f t="shared" si="160"/>
        <v>0</v>
      </c>
      <c r="J192" s="96">
        <f t="shared" si="160"/>
        <v>0</v>
      </c>
      <c r="K192" s="96">
        <f t="shared" si="160"/>
        <v>0</v>
      </c>
      <c r="L192" s="96">
        <f t="shared" si="160"/>
        <v>0</v>
      </c>
      <c r="M192" s="96">
        <f t="shared" si="160"/>
        <v>0</v>
      </c>
      <c r="N192" s="96">
        <f t="shared" si="160"/>
        <v>11548502</v>
      </c>
    </row>
    <row r="193" spans="1:14" x14ac:dyDescent="0.3">
      <c r="A193" t="str">
        <f t="shared" si="146"/>
        <v>OTHER NON-RECURRING SOURCES</v>
      </c>
      <c r="B193" s="95">
        <f t="shared" si="147"/>
        <v>0</v>
      </c>
      <c r="C193" s="96">
        <f t="shared" ref="C193:N193" si="161">C109</f>
        <v>0</v>
      </c>
      <c r="D193" s="96">
        <f t="shared" si="161"/>
        <v>0</v>
      </c>
      <c r="E193" s="96">
        <f t="shared" si="161"/>
        <v>0</v>
      </c>
      <c r="F193" s="96">
        <f t="shared" si="161"/>
        <v>0</v>
      </c>
      <c r="G193" s="96">
        <f t="shared" si="161"/>
        <v>0</v>
      </c>
      <c r="H193" s="96">
        <f t="shared" si="161"/>
        <v>0</v>
      </c>
      <c r="I193" s="96">
        <f t="shared" si="161"/>
        <v>0</v>
      </c>
      <c r="J193" s="96">
        <f t="shared" si="161"/>
        <v>0</v>
      </c>
      <c r="K193" s="96">
        <f t="shared" si="161"/>
        <v>0</v>
      </c>
      <c r="L193" s="96">
        <f t="shared" si="161"/>
        <v>0</v>
      </c>
      <c r="M193" s="96">
        <f t="shared" si="161"/>
        <v>0</v>
      </c>
      <c r="N193" s="96">
        <f t="shared" si="161"/>
        <v>0</v>
      </c>
    </row>
    <row r="194" spans="1:14" x14ac:dyDescent="0.3">
      <c r="A194" s="35" t="s">
        <v>8</v>
      </c>
      <c r="B194" s="97">
        <f t="shared" ref="B194:N194" si="162">SUM(B177:B193)</f>
        <v>982664069.13999987</v>
      </c>
      <c r="C194" s="97">
        <f t="shared" si="162"/>
        <v>29985359.398265705</v>
      </c>
      <c r="D194" s="97">
        <f t="shared" si="162"/>
        <v>42945382.275923327</v>
      </c>
      <c r="E194" s="97">
        <f t="shared" si="162"/>
        <v>40183520.94020161</v>
      </c>
      <c r="F194" s="97">
        <f t="shared" si="162"/>
        <v>137277759.57263735</v>
      </c>
      <c r="G194" s="97">
        <f t="shared" si="162"/>
        <v>177595610.09977978</v>
      </c>
      <c r="H194" s="97">
        <f t="shared" si="162"/>
        <v>80689545.049128681</v>
      </c>
      <c r="I194" s="97">
        <f t="shared" si="162"/>
        <v>41445164.766825572</v>
      </c>
      <c r="J194" s="97">
        <f t="shared" si="162"/>
        <v>32343842.128982302</v>
      </c>
      <c r="K194" s="97">
        <f t="shared" si="162"/>
        <v>63207265.981690101</v>
      </c>
      <c r="L194" s="97">
        <f t="shared" si="162"/>
        <v>210786619.95742455</v>
      </c>
      <c r="M194" s="97">
        <f t="shared" si="162"/>
        <v>86115779.723207563</v>
      </c>
      <c r="N194" s="97">
        <f t="shared" si="162"/>
        <v>40088219.245933346</v>
      </c>
    </row>
    <row r="195" spans="1:14" x14ac:dyDescent="0.3">
      <c r="A195" s="7" t="s">
        <v>7</v>
      </c>
    </row>
    <row r="196" spans="1:14" x14ac:dyDescent="0.3">
      <c r="A196" t="str">
        <f>A28</f>
        <v>SALARIES &amp; WAGES</v>
      </c>
      <c r="B196" s="95">
        <f t="shared" ref="B196:B212" si="163">SUM(C196:N196)</f>
        <v>121266600</v>
      </c>
      <c r="C196" s="96">
        <f>C112*1.05</f>
        <v>9328200</v>
      </c>
      <c r="D196" s="96">
        <f t="shared" ref="D196:N197" si="164">D112*1.05</f>
        <v>9328200</v>
      </c>
      <c r="E196" s="96">
        <f t="shared" si="164"/>
        <v>9328200</v>
      </c>
      <c r="F196" s="96">
        <f t="shared" si="164"/>
        <v>9328200</v>
      </c>
      <c r="G196" s="96">
        <f t="shared" si="164"/>
        <v>13992300</v>
      </c>
      <c r="H196" s="96">
        <f t="shared" si="164"/>
        <v>9328200</v>
      </c>
      <c r="I196" s="96">
        <f t="shared" si="164"/>
        <v>9328200</v>
      </c>
      <c r="J196" s="96">
        <f t="shared" si="164"/>
        <v>9328200</v>
      </c>
      <c r="K196" s="96">
        <f t="shared" si="164"/>
        <v>9328200</v>
      </c>
      <c r="L196" s="96">
        <f t="shared" si="164"/>
        <v>13992300</v>
      </c>
      <c r="M196" s="96">
        <f t="shared" si="164"/>
        <v>9328200</v>
      </c>
      <c r="N196" s="96">
        <f t="shared" si="164"/>
        <v>9328200</v>
      </c>
    </row>
    <row r="197" spans="1:14" x14ac:dyDescent="0.3">
      <c r="A197" t="str">
        <f t="shared" ref="A197:A212" si="165">A29</f>
        <v>BENEFITS</v>
      </c>
      <c r="B197" s="95">
        <f t="shared" si="163"/>
        <v>24897600</v>
      </c>
      <c r="C197" s="96">
        <f>C113*1.05</f>
        <v>1915200</v>
      </c>
      <c r="D197" s="96">
        <f t="shared" si="164"/>
        <v>1915200</v>
      </c>
      <c r="E197" s="96">
        <f t="shared" si="164"/>
        <v>1915200</v>
      </c>
      <c r="F197" s="96">
        <f t="shared" si="164"/>
        <v>1915200</v>
      </c>
      <c r="G197" s="96">
        <f t="shared" si="164"/>
        <v>2872800</v>
      </c>
      <c r="H197" s="96">
        <f t="shared" si="164"/>
        <v>1915200</v>
      </c>
      <c r="I197" s="96">
        <f t="shared" si="164"/>
        <v>1915200</v>
      </c>
      <c r="J197" s="96">
        <f t="shared" si="164"/>
        <v>1915200</v>
      </c>
      <c r="K197" s="96">
        <f t="shared" si="164"/>
        <v>1915200</v>
      </c>
      <c r="L197" s="96">
        <f t="shared" si="164"/>
        <v>2872800</v>
      </c>
      <c r="M197" s="96">
        <f t="shared" si="164"/>
        <v>1915200</v>
      </c>
      <c r="N197" s="96">
        <f t="shared" si="164"/>
        <v>1915200</v>
      </c>
    </row>
    <row r="198" spans="1:14" x14ac:dyDescent="0.3">
      <c r="A198" t="str">
        <f t="shared" si="165"/>
        <v>CONTRACTUAL SERVICES</v>
      </c>
      <c r="B198" s="95">
        <f t="shared" si="163"/>
        <v>244791476.83999997</v>
      </c>
      <c r="C198" s="96">
        <f>C114*1.03</f>
        <v>23731636.673070554</v>
      </c>
      <c r="D198" s="96">
        <f t="shared" ref="D198:N198" si="166">D114*1.03</f>
        <v>16527569.300072933</v>
      </c>
      <c r="E198" s="96">
        <f t="shared" si="166"/>
        <v>18402467.172665078</v>
      </c>
      <c r="F198" s="96">
        <f t="shared" si="166"/>
        <v>20240386.221541706</v>
      </c>
      <c r="G198" s="96">
        <f t="shared" si="166"/>
        <v>18550136.311541356</v>
      </c>
      <c r="H198" s="96">
        <f t="shared" si="166"/>
        <v>18735821.606973816</v>
      </c>
      <c r="I198" s="96">
        <f t="shared" si="166"/>
        <v>24567173.770916667</v>
      </c>
      <c r="J198" s="96">
        <f t="shared" si="166"/>
        <v>25341735.911865629</v>
      </c>
      <c r="K198" s="96">
        <f t="shared" si="166"/>
        <v>22921035.230921276</v>
      </c>
      <c r="L198" s="96">
        <f t="shared" si="166"/>
        <v>22329338.187687095</v>
      </c>
      <c r="M198" s="96">
        <f t="shared" si="166"/>
        <v>18956301.838910349</v>
      </c>
      <c r="N198" s="96">
        <f t="shared" si="166"/>
        <v>14487874.613833552</v>
      </c>
    </row>
    <row r="199" spans="1:14" x14ac:dyDescent="0.3">
      <c r="A199" t="str">
        <f t="shared" si="165"/>
        <v>UTILITIES</v>
      </c>
      <c r="B199" s="95">
        <f t="shared" si="163"/>
        <v>0</v>
      </c>
      <c r="C199" s="96">
        <f>C115</f>
        <v>0</v>
      </c>
      <c r="D199" s="96">
        <f t="shared" ref="D199:N199" si="167">D115</f>
        <v>0</v>
      </c>
      <c r="E199" s="96">
        <f t="shared" si="167"/>
        <v>0</v>
      </c>
      <c r="F199" s="96">
        <f t="shared" si="167"/>
        <v>0</v>
      </c>
      <c r="G199" s="96">
        <f t="shared" si="167"/>
        <v>0</v>
      </c>
      <c r="H199" s="96">
        <f t="shared" si="167"/>
        <v>0</v>
      </c>
      <c r="I199" s="96">
        <f t="shared" si="167"/>
        <v>0</v>
      </c>
      <c r="J199" s="96">
        <f t="shared" si="167"/>
        <v>0</v>
      </c>
      <c r="K199" s="96">
        <f t="shared" si="167"/>
        <v>0</v>
      </c>
      <c r="L199" s="96">
        <f t="shared" si="167"/>
        <v>0</v>
      </c>
      <c r="M199" s="96">
        <f t="shared" si="167"/>
        <v>0</v>
      </c>
      <c r="N199" s="96">
        <f t="shared" si="167"/>
        <v>0</v>
      </c>
    </row>
    <row r="200" spans="1:14" x14ac:dyDescent="0.3">
      <c r="A200" t="str">
        <f t="shared" si="165"/>
        <v>MAINTENANCE AND REPAIRS</v>
      </c>
      <c r="B200" s="95">
        <f t="shared" si="163"/>
        <v>0</v>
      </c>
      <c r="C200" s="96">
        <f t="shared" ref="C200:N200" si="168">C116</f>
        <v>0</v>
      </c>
      <c r="D200" s="96">
        <f t="shared" si="168"/>
        <v>0</v>
      </c>
      <c r="E200" s="96">
        <f t="shared" si="168"/>
        <v>0</v>
      </c>
      <c r="F200" s="96">
        <f t="shared" si="168"/>
        <v>0</v>
      </c>
      <c r="G200" s="96">
        <f t="shared" si="168"/>
        <v>0</v>
      </c>
      <c r="H200" s="96">
        <f t="shared" si="168"/>
        <v>0</v>
      </c>
      <c r="I200" s="96">
        <f t="shared" si="168"/>
        <v>0</v>
      </c>
      <c r="J200" s="96">
        <f t="shared" si="168"/>
        <v>0</v>
      </c>
      <c r="K200" s="96">
        <f t="shared" si="168"/>
        <v>0</v>
      </c>
      <c r="L200" s="96">
        <f t="shared" si="168"/>
        <v>0</v>
      </c>
      <c r="M200" s="96">
        <f t="shared" si="168"/>
        <v>0</v>
      </c>
      <c r="N200" s="96">
        <f t="shared" si="168"/>
        <v>0</v>
      </c>
    </row>
    <row r="201" spans="1:14" x14ac:dyDescent="0.3">
      <c r="A201" t="str">
        <f t="shared" si="165"/>
        <v>FISCAL DISPARITIES</v>
      </c>
      <c r="B201" s="95">
        <f t="shared" si="163"/>
        <v>69982347</v>
      </c>
      <c r="C201" s="96">
        <f t="shared" ref="C201:N201" si="169">C117</f>
        <v>0</v>
      </c>
      <c r="D201" s="96">
        <f t="shared" si="169"/>
        <v>0</v>
      </c>
      <c r="E201" s="96">
        <f t="shared" si="169"/>
        <v>0</v>
      </c>
      <c r="F201" s="96">
        <f t="shared" si="169"/>
        <v>0</v>
      </c>
      <c r="G201" s="96">
        <f t="shared" si="169"/>
        <v>0</v>
      </c>
      <c r="H201" s="96">
        <f t="shared" si="169"/>
        <v>34143531.13583982</v>
      </c>
      <c r="I201" s="96">
        <f t="shared" si="169"/>
        <v>847642.36416018405</v>
      </c>
      <c r="J201" s="96">
        <f t="shared" si="169"/>
        <v>0</v>
      </c>
      <c r="K201" s="96">
        <f t="shared" si="169"/>
        <v>0</v>
      </c>
      <c r="L201" s="96">
        <f t="shared" si="169"/>
        <v>0</v>
      </c>
      <c r="M201" s="96">
        <f t="shared" si="169"/>
        <v>34991173.5</v>
      </c>
      <c r="N201" s="96">
        <f t="shared" si="169"/>
        <v>0</v>
      </c>
    </row>
    <row r="202" spans="1:14" x14ac:dyDescent="0.3">
      <c r="A202" t="str">
        <f t="shared" si="165"/>
        <v>CAPITAL</v>
      </c>
      <c r="B202" s="95">
        <f t="shared" si="163"/>
        <v>0</v>
      </c>
      <c r="C202" s="96">
        <f t="shared" ref="C202:N202" si="170">C118</f>
        <v>0</v>
      </c>
      <c r="D202" s="96">
        <f t="shared" si="170"/>
        <v>0</v>
      </c>
      <c r="E202" s="96">
        <f t="shared" si="170"/>
        <v>0</v>
      </c>
      <c r="F202" s="96">
        <f t="shared" si="170"/>
        <v>0</v>
      </c>
      <c r="G202" s="96">
        <f t="shared" si="170"/>
        <v>0</v>
      </c>
      <c r="H202" s="96">
        <f t="shared" si="170"/>
        <v>0</v>
      </c>
      <c r="I202" s="96">
        <f t="shared" si="170"/>
        <v>0</v>
      </c>
      <c r="J202" s="96">
        <f t="shared" si="170"/>
        <v>0</v>
      </c>
      <c r="K202" s="96">
        <f t="shared" si="170"/>
        <v>0</v>
      </c>
      <c r="L202" s="96">
        <f t="shared" si="170"/>
        <v>0</v>
      </c>
      <c r="M202" s="96">
        <f t="shared" si="170"/>
        <v>0</v>
      </c>
      <c r="N202" s="96">
        <f t="shared" si="170"/>
        <v>0</v>
      </c>
    </row>
    <row r="203" spans="1:14" x14ac:dyDescent="0.3">
      <c r="A203" t="str">
        <f t="shared" si="165"/>
        <v>GRANTS</v>
      </c>
      <c r="B203" s="95">
        <f t="shared" si="163"/>
        <v>0</v>
      </c>
      <c r="C203" s="96">
        <f t="shared" ref="C203:N203" si="171">C119</f>
        <v>0</v>
      </c>
      <c r="D203" s="96">
        <f t="shared" si="171"/>
        <v>0</v>
      </c>
      <c r="E203" s="96">
        <f t="shared" si="171"/>
        <v>0</v>
      </c>
      <c r="F203" s="96">
        <f t="shared" si="171"/>
        <v>0</v>
      </c>
      <c r="G203" s="96">
        <f t="shared" si="171"/>
        <v>0</v>
      </c>
      <c r="H203" s="96">
        <f t="shared" si="171"/>
        <v>0</v>
      </c>
      <c r="I203" s="96">
        <f t="shared" si="171"/>
        <v>0</v>
      </c>
      <c r="J203" s="96">
        <f t="shared" si="171"/>
        <v>0</v>
      </c>
      <c r="K203" s="96">
        <f t="shared" si="171"/>
        <v>0</v>
      </c>
      <c r="L203" s="96">
        <f t="shared" si="171"/>
        <v>0</v>
      </c>
      <c r="M203" s="96">
        <f t="shared" si="171"/>
        <v>0</v>
      </c>
      <c r="N203" s="96">
        <f t="shared" si="171"/>
        <v>0</v>
      </c>
    </row>
    <row r="204" spans="1:14" x14ac:dyDescent="0.3">
      <c r="A204" t="str">
        <f t="shared" si="165"/>
        <v>TRANSFERS/OTHER</v>
      </c>
      <c r="B204" s="95">
        <f t="shared" si="163"/>
        <v>0</v>
      </c>
      <c r="C204" s="96">
        <f t="shared" ref="C204:N204" si="172">C120</f>
        <v>0</v>
      </c>
      <c r="D204" s="96">
        <f t="shared" si="172"/>
        <v>0</v>
      </c>
      <c r="E204" s="96">
        <f t="shared" si="172"/>
        <v>0</v>
      </c>
      <c r="F204" s="96">
        <f t="shared" si="172"/>
        <v>0</v>
      </c>
      <c r="G204" s="96">
        <f t="shared" si="172"/>
        <v>0</v>
      </c>
      <c r="H204" s="96">
        <f t="shared" si="172"/>
        <v>0</v>
      </c>
      <c r="I204" s="96">
        <f t="shared" si="172"/>
        <v>0</v>
      </c>
      <c r="J204" s="96">
        <f t="shared" si="172"/>
        <v>0</v>
      </c>
      <c r="K204" s="96">
        <f t="shared" si="172"/>
        <v>0</v>
      </c>
      <c r="L204" s="96">
        <f t="shared" si="172"/>
        <v>0</v>
      </c>
      <c r="M204" s="96">
        <f t="shared" si="172"/>
        <v>0</v>
      </c>
      <c r="N204" s="96">
        <f t="shared" si="172"/>
        <v>0</v>
      </c>
    </row>
    <row r="205" spans="1:14" x14ac:dyDescent="0.3">
      <c r="A205" t="str">
        <f t="shared" si="165"/>
        <v>MTGE/DEED/TAXES/FEES</v>
      </c>
      <c r="B205" s="95">
        <f t="shared" si="163"/>
        <v>15723917.000000002</v>
      </c>
      <c r="C205" s="96">
        <f t="shared" ref="C205:N205" si="173">C121</f>
        <v>1122266.1688904366</v>
      </c>
      <c r="D205" s="96">
        <f t="shared" si="173"/>
        <v>1110875.9518963306</v>
      </c>
      <c r="E205" s="96">
        <f t="shared" si="173"/>
        <v>934095.60537922417</v>
      </c>
      <c r="F205" s="96">
        <f t="shared" si="173"/>
        <v>1097513.6224283322</v>
      </c>
      <c r="G205" s="96">
        <f t="shared" si="173"/>
        <v>1112375.3923854386</v>
      </c>
      <c r="H205" s="96">
        <f t="shared" si="173"/>
        <v>2397616.6083717458</v>
      </c>
      <c r="I205" s="96">
        <f t="shared" si="173"/>
        <v>7644.6883952890485</v>
      </c>
      <c r="J205" s="96">
        <f t="shared" si="173"/>
        <v>2118929.1037224494</v>
      </c>
      <c r="K205" s="96">
        <f t="shared" si="173"/>
        <v>1635675.0020442579</v>
      </c>
      <c r="L205" s="96">
        <f t="shared" si="173"/>
        <v>1499665.3027607091</v>
      </c>
      <c r="M205" s="96">
        <f t="shared" si="173"/>
        <v>2047521.8351566198</v>
      </c>
      <c r="N205" s="96">
        <f t="shared" si="173"/>
        <v>639737.71856916661</v>
      </c>
    </row>
    <row r="206" spans="1:14" x14ac:dyDescent="0.3">
      <c r="A206" t="str">
        <f t="shared" si="165"/>
        <v>DEBT PYMTS</v>
      </c>
      <c r="B206" s="95">
        <f t="shared" si="163"/>
        <v>16061980</v>
      </c>
      <c r="C206" s="96">
        <f t="shared" ref="C206:N206" si="174">C122</f>
        <v>175379.8663562343</v>
      </c>
      <c r="D206" s="96">
        <f t="shared" si="174"/>
        <v>13691374.11849851</v>
      </c>
      <c r="E206" s="96">
        <f t="shared" si="174"/>
        <v>0</v>
      </c>
      <c r="F206" s="96">
        <f t="shared" si="174"/>
        <v>0</v>
      </c>
      <c r="G206" s="96">
        <f t="shared" si="174"/>
        <v>102718.29895195519</v>
      </c>
      <c r="H206" s="96">
        <f t="shared" si="174"/>
        <v>0</v>
      </c>
      <c r="I206" s="96">
        <f t="shared" si="174"/>
        <v>745191.66627070692</v>
      </c>
      <c r="J206" s="96">
        <f t="shared" si="174"/>
        <v>708021.65067660785</v>
      </c>
      <c r="K206" s="96">
        <f t="shared" si="174"/>
        <v>0</v>
      </c>
      <c r="L206" s="96">
        <f t="shared" si="174"/>
        <v>0</v>
      </c>
      <c r="M206" s="96">
        <f t="shared" si="174"/>
        <v>12677.850108197654</v>
      </c>
      <c r="N206" s="96">
        <f t="shared" si="174"/>
        <v>626616.54913778778</v>
      </c>
    </row>
    <row r="207" spans="1:14" x14ac:dyDescent="0.3">
      <c r="A207" t="str">
        <f t="shared" si="165"/>
        <v>TAX DISTRIBUTION PYMTS</v>
      </c>
      <c r="B207" s="95">
        <f t="shared" si="163"/>
        <v>421746356.46000004</v>
      </c>
      <c r="C207" s="96">
        <f>C123*1.03</f>
        <v>2751553.4222275172</v>
      </c>
      <c r="D207" s="96">
        <f t="shared" ref="D207:N207" si="175">D123*1.03</f>
        <v>0</v>
      </c>
      <c r="E207" s="96">
        <f t="shared" si="175"/>
        <v>324193.99220624636</v>
      </c>
      <c r="F207" s="96">
        <f t="shared" si="175"/>
        <v>0</v>
      </c>
      <c r="G207" s="96">
        <f t="shared" si="175"/>
        <v>48015155.799956083</v>
      </c>
      <c r="H207" s="96">
        <f t="shared" si="175"/>
        <v>74814730.993102148</v>
      </c>
      <c r="I207" s="96">
        <f t="shared" si="175"/>
        <v>102925944.22842866</v>
      </c>
      <c r="J207" s="96">
        <f t="shared" si="175"/>
        <v>0</v>
      </c>
      <c r="K207" s="96">
        <f t="shared" si="175"/>
        <v>0</v>
      </c>
      <c r="L207" s="96">
        <f t="shared" si="175"/>
        <v>42530922.656092271</v>
      </c>
      <c r="M207" s="96">
        <f t="shared" si="175"/>
        <v>96102965.979668304</v>
      </c>
      <c r="N207" s="96">
        <f t="shared" si="175"/>
        <v>54280889.388318785</v>
      </c>
    </row>
    <row r="208" spans="1:14" x14ac:dyDescent="0.3">
      <c r="A208" t="str">
        <f t="shared" si="165"/>
        <v xml:space="preserve">INVESTMENT PURCHASES </v>
      </c>
      <c r="B208" s="95">
        <f t="shared" si="163"/>
        <v>22413216.364110935</v>
      </c>
      <c r="C208" s="96">
        <v>0</v>
      </c>
      <c r="D208" s="96">
        <v>0</v>
      </c>
      <c r="E208" s="96">
        <v>0</v>
      </c>
      <c r="F208" s="96">
        <f t="shared" ref="F208:N208" si="176">F124</f>
        <v>2033152.3151538468</v>
      </c>
      <c r="G208" s="96">
        <f t="shared" si="176"/>
        <v>3187228.8200974627</v>
      </c>
      <c r="H208" s="96">
        <f t="shared" si="176"/>
        <v>4005548.504076005</v>
      </c>
      <c r="I208" s="96">
        <f t="shared" si="176"/>
        <v>1953138.3333500458</v>
      </c>
      <c r="J208" s="96">
        <f t="shared" si="176"/>
        <v>1595650.2024916438</v>
      </c>
      <c r="K208" s="96">
        <f t="shared" si="176"/>
        <v>1849315.7706679369</v>
      </c>
      <c r="L208" s="96">
        <f t="shared" si="176"/>
        <v>4162629.5659081391</v>
      </c>
      <c r="M208" s="96">
        <f t="shared" si="176"/>
        <v>901784.40590604534</v>
      </c>
      <c r="N208" s="96">
        <f t="shared" si="176"/>
        <v>2724768.446459814</v>
      </c>
    </row>
    <row r="209" spans="1:14" x14ac:dyDescent="0.3">
      <c r="A209" t="str">
        <f t="shared" si="165"/>
        <v>OTHER EXPENSES/USES</v>
      </c>
      <c r="B209" s="95">
        <f t="shared" si="163"/>
        <v>0</v>
      </c>
      <c r="C209" s="96">
        <f t="shared" ref="C209:N209" si="177">C125</f>
        <v>0</v>
      </c>
      <c r="D209" s="96">
        <f t="shared" si="177"/>
        <v>0</v>
      </c>
      <c r="E209" s="96">
        <f t="shared" si="177"/>
        <v>0</v>
      </c>
      <c r="F209" s="96">
        <f t="shared" si="177"/>
        <v>0</v>
      </c>
      <c r="G209" s="96">
        <f t="shared" si="177"/>
        <v>0</v>
      </c>
      <c r="H209" s="96">
        <f t="shared" si="177"/>
        <v>0</v>
      </c>
      <c r="I209" s="96">
        <f t="shared" si="177"/>
        <v>0</v>
      </c>
      <c r="J209" s="96">
        <f t="shared" si="177"/>
        <v>0</v>
      </c>
      <c r="K209" s="96">
        <f t="shared" si="177"/>
        <v>0</v>
      </c>
      <c r="L209" s="96">
        <f t="shared" si="177"/>
        <v>0</v>
      </c>
      <c r="M209" s="96">
        <f t="shared" si="177"/>
        <v>0</v>
      </c>
      <c r="N209" s="96">
        <f t="shared" si="177"/>
        <v>0</v>
      </c>
    </row>
    <row r="210" spans="1:14" x14ac:dyDescent="0.3">
      <c r="A210" t="str">
        <f t="shared" si="165"/>
        <v>OTHER EXPENSES/USES</v>
      </c>
      <c r="B210" s="95">
        <f t="shared" si="163"/>
        <v>0</v>
      </c>
      <c r="C210" s="96">
        <f t="shared" ref="C210:N210" si="178">C126</f>
        <v>0</v>
      </c>
      <c r="D210" s="96">
        <f t="shared" si="178"/>
        <v>0</v>
      </c>
      <c r="E210" s="96">
        <f t="shared" si="178"/>
        <v>0</v>
      </c>
      <c r="F210" s="96">
        <f t="shared" si="178"/>
        <v>0</v>
      </c>
      <c r="G210" s="96">
        <f t="shared" si="178"/>
        <v>0</v>
      </c>
      <c r="H210" s="96">
        <f t="shared" si="178"/>
        <v>0</v>
      </c>
      <c r="I210" s="96">
        <f t="shared" si="178"/>
        <v>0</v>
      </c>
      <c r="J210" s="96">
        <f t="shared" si="178"/>
        <v>0</v>
      </c>
      <c r="K210" s="96">
        <f t="shared" si="178"/>
        <v>0</v>
      </c>
      <c r="L210" s="96">
        <f t="shared" si="178"/>
        <v>0</v>
      </c>
      <c r="M210" s="96">
        <f t="shared" si="178"/>
        <v>0</v>
      </c>
      <c r="N210" s="96">
        <f t="shared" si="178"/>
        <v>0</v>
      </c>
    </row>
    <row r="211" spans="1:14" x14ac:dyDescent="0.3">
      <c r="A211" t="str">
        <f t="shared" si="165"/>
        <v>OTHER EXPENSES/USES</v>
      </c>
      <c r="B211" s="95">
        <f t="shared" si="163"/>
        <v>0</v>
      </c>
      <c r="C211" s="96">
        <f t="shared" ref="C211:N211" si="179">C127</f>
        <v>0</v>
      </c>
      <c r="D211" s="96">
        <f t="shared" si="179"/>
        <v>0</v>
      </c>
      <c r="E211" s="96">
        <f t="shared" si="179"/>
        <v>0</v>
      </c>
      <c r="F211" s="96">
        <f t="shared" si="179"/>
        <v>0</v>
      </c>
      <c r="G211" s="96">
        <f t="shared" si="179"/>
        <v>0</v>
      </c>
      <c r="H211" s="96">
        <f t="shared" si="179"/>
        <v>0</v>
      </c>
      <c r="I211" s="96">
        <f t="shared" si="179"/>
        <v>0</v>
      </c>
      <c r="J211" s="96">
        <f t="shared" si="179"/>
        <v>0</v>
      </c>
      <c r="K211" s="96">
        <f t="shared" si="179"/>
        <v>0</v>
      </c>
      <c r="L211" s="96">
        <f t="shared" si="179"/>
        <v>0</v>
      </c>
      <c r="M211" s="96">
        <f t="shared" si="179"/>
        <v>0</v>
      </c>
      <c r="N211" s="96">
        <f t="shared" si="179"/>
        <v>0</v>
      </c>
    </row>
    <row r="212" spans="1:14" x14ac:dyDescent="0.3">
      <c r="A212" t="str">
        <f t="shared" si="165"/>
        <v>OTHER NON-RECURRING USES</v>
      </c>
      <c r="B212" s="95">
        <f t="shared" si="163"/>
        <v>0</v>
      </c>
      <c r="C212" s="96">
        <f t="shared" ref="C212:N212" si="180">C128</f>
        <v>0</v>
      </c>
      <c r="D212" s="96">
        <f t="shared" si="180"/>
        <v>0</v>
      </c>
      <c r="E212" s="96">
        <f t="shared" si="180"/>
        <v>0</v>
      </c>
      <c r="F212" s="96">
        <f t="shared" si="180"/>
        <v>0</v>
      </c>
      <c r="G212" s="96">
        <f t="shared" si="180"/>
        <v>0</v>
      </c>
      <c r="H212" s="96">
        <f t="shared" si="180"/>
        <v>0</v>
      </c>
      <c r="I212" s="96">
        <f t="shared" si="180"/>
        <v>0</v>
      </c>
      <c r="J212" s="96">
        <f t="shared" si="180"/>
        <v>0</v>
      </c>
      <c r="K212" s="96">
        <f t="shared" si="180"/>
        <v>0</v>
      </c>
      <c r="L212" s="96">
        <f t="shared" si="180"/>
        <v>0</v>
      </c>
      <c r="M212" s="96">
        <f t="shared" si="180"/>
        <v>0</v>
      </c>
      <c r="N212" s="96">
        <f t="shared" si="180"/>
        <v>0</v>
      </c>
    </row>
    <row r="213" spans="1:14" x14ac:dyDescent="0.3">
      <c r="A213" s="35" t="s">
        <v>9</v>
      </c>
      <c r="B213" s="106">
        <f>SUM(B196:B212)</f>
        <v>936883493.6641109</v>
      </c>
      <c r="C213" s="106">
        <f>SUM(C196:C212)</f>
        <v>39024236.130544737</v>
      </c>
      <c r="D213" s="106">
        <f t="shared" ref="D213:N213" si="181">SUM(D196:D212)</f>
        <v>42573219.370467775</v>
      </c>
      <c r="E213" s="106">
        <f t="shared" si="181"/>
        <v>30904156.770250548</v>
      </c>
      <c r="F213" s="106">
        <f t="shared" si="181"/>
        <v>34614452.159123883</v>
      </c>
      <c r="G213" s="106">
        <f t="shared" si="181"/>
        <v>87832714.6229323</v>
      </c>
      <c r="H213" s="106">
        <f t="shared" si="181"/>
        <v>145340648.84836352</v>
      </c>
      <c r="I213" s="106">
        <f t="shared" si="181"/>
        <v>142290135.05152157</v>
      </c>
      <c r="J213" s="106">
        <f t="shared" si="181"/>
        <v>41007736.868756324</v>
      </c>
      <c r="K213" s="106">
        <f t="shared" si="181"/>
        <v>37649426.003633477</v>
      </c>
      <c r="L213" s="106">
        <f t="shared" si="181"/>
        <v>87387655.71244821</v>
      </c>
      <c r="M213" s="106">
        <f t="shared" si="181"/>
        <v>164255825.40974954</v>
      </c>
      <c r="N213" s="106">
        <f t="shared" si="181"/>
        <v>84003286.716319099</v>
      </c>
    </row>
    <row r="214" spans="1:14" ht="15" thickBot="1" x14ac:dyDescent="0.35">
      <c r="A214" s="36" t="s">
        <v>10</v>
      </c>
      <c r="B214" s="107">
        <f t="shared" ref="B214:N214" si="182">B194-B213</f>
        <v>45780575.475888968</v>
      </c>
      <c r="C214" s="107">
        <f t="shared" si="182"/>
        <v>-9038876.7322790325</v>
      </c>
      <c r="D214" s="107">
        <f t="shared" si="182"/>
        <v>372162.90545555204</v>
      </c>
      <c r="E214" s="107">
        <f t="shared" si="182"/>
        <v>9279364.1699510626</v>
      </c>
      <c r="F214" s="107">
        <f t="shared" si="182"/>
        <v>102663307.41351347</v>
      </c>
      <c r="G214" s="107">
        <f t="shared" si="182"/>
        <v>89762895.476847485</v>
      </c>
      <c r="H214" s="107">
        <f t="shared" si="182"/>
        <v>-64651103.799234837</v>
      </c>
      <c r="I214" s="107">
        <f t="shared" si="182"/>
        <v>-100844970.284696</v>
      </c>
      <c r="J214" s="107">
        <f t="shared" si="182"/>
        <v>-8663894.7397740223</v>
      </c>
      <c r="K214" s="107">
        <f t="shared" si="182"/>
        <v>25557839.978056625</v>
      </c>
      <c r="L214" s="107">
        <f t="shared" si="182"/>
        <v>123398964.24497634</v>
      </c>
      <c r="M214" s="107">
        <f t="shared" si="182"/>
        <v>-78140045.686541975</v>
      </c>
      <c r="N214" s="107">
        <f t="shared" si="182"/>
        <v>-43915067.470385753</v>
      </c>
    </row>
    <row r="215" spans="1:14" x14ac:dyDescent="0.3">
      <c r="A215" s="6"/>
      <c r="B215" s="108"/>
      <c r="C215" s="108"/>
      <c r="D215" s="108"/>
      <c r="E215" s="108"/>
      <c r="F215" s="108"/>
      <c r="G215" s="108"/>
      <c r="H215" s="108"/>
      <c r="I215" s="108"/>
      <c r="J215" s="108"/>
      <c r="K215" s="108"/>
      <c r="L215" s="108"/>
      <c r="M215" s="108"/>
      <c r="N215" s="108"/>
    </row>
    <row r="216" spans="1:14" ht="15" thickBot="1" x14ac:dyDescent="0.35">
      <c r="A216" s="32" t="s">
        <v>163</v>
      </c>
      <c r="B216" s="103"/>
      <c r="C216" s="103"/>
      <c r="D216" s="103"/>
      <c r="E216" s="103"/>
      <c r="F216" s="103"/>
      <c r="G216" s="104"/>
      <c r="H216" s="104"/>
      <c r="I216" s="104"/>
      <c r="J216" s="104"/>
      <c r="K216" s="104"/>
      <c r="L216" s="104"/>
      <c r="M216" s="104"/>
      <c r="N216" s="104"/>
    </row>
    <row r="217" spans="1:14" ht="15" thickBot="1" x14ac:dyDescent="0.35">
      <c r="A217" s="33"/>
      <c r="B217" s="105" t="str">
        <f>B48</f>
        <v>TOTAL-2023</v>
      </c>
      <c r="C217" s="105" t="str">
        <f>B7</f>
        <v>TOTAL-2024</v>
      </c>
      <c r="D217" s="105" t="str">
        <f>B132</f>
        <v>TOTAL-2025</v>
      </c>
      <c r="E217" s="105" t="str">
        <f>B175</f>
        <v>TOTAL-2026</v>
      </c>
      <c r="F217" s="105" t="s">
        <v>12</v>
      </c>
      <c r="G217" s="105" t="str">
        <f>CONCATENATE("INPUT ",(RIGHT(E217,4)+1))</f>
        <v>INPUT 2027</v>
      </c>
      <c r="H217" s="105" t="str">
        <f>CONCATENATE("TOTAL-",RIGHT(E217,4)+1)</f>
        <v>TOTAL-2027</v>
      </c>
      <c r="I217" s="129" t="s">
        <v>127</v>
      </c>
      <c r="J217" s="130"/>
      <c r="K217" s="130"/>
      <c r="L217" s="130"/>
      <c r="M217" s="130"/>
      <c r="N217" s="131"/>
    </row>
    <row r="218" spans="1:14" x14ac:dyDescent="0.3">
      <c r="A218" s="7" t="s">
        <v>6</v>
      </c>
      <c r="B218" s="98"/>
      <c r="C218" s="98"/>
      <c r="D218" s="98"/>
      <c r="E218" s="104"/>
      <c r="F218" s="104"/>
      <c r="G218" s="104"/>
      <c r="H218" s="104"/>
      <c r="I218" s="104"/>
      <c r="J218" s="104"/>
      <c r="K218" s="104"/>
      <c r="L218" s="104"/>
      <c r="M218" s="104"/>
      <c r="N218" s="104"/>
    </row>
    <row r="219" spans="1:14" x14ac:dyDescent="0.3">
      <c r="A219" t="str">
        <f t="shared" ref="A219:A235" si="183">A9</f>
        <v>PROPERTY TAX</v>
      </c>
      <c r="B219" s="95">
        <f t="shared" ref="B219:B235" si="184">B50</f>
        <v>510278023</v>
      </c>
      <c r="C219" s="95">
        <f t="shared" ref="C219:C235" si="185">B9</f>
        <v>547422147</v>
      </c>
      <c r="D219" s="95">
        <f t="shared" ref="D219:D232" si="186">B134</f>
        <v>558213162</v>
      </c>
      <c r="E219" s="101">
        <f>B177</f>
        <v>553918994</v>
      </c>
      <c r="F219" s="109">
        <f>IFERROR(AVERAGE((E219/D219),(D219/C219),(C219/B219))-1,0)</f>
        <v>2.827055009058288E-2</v>
      </c>
      <c r="G219" s="110">
        <v>0.03</v>
      </c>
      <c r="H219" s="111">
        <f>IFERROR(E219*(1+G219),0)</f>
        <v>570536563.82000005</v>
      </c>
      <c r="I219" s="104"/>
      <c r="J219" s="104"/>
      <c r="K219" s="104"/>
      <c r="L219" s="104"/>
      <c r="M219" s="104"/>
      <c r="N219" s="104"/>
    </row>
    <row r="220" spans="1:14" x14ac:dyDescent="0.3">
      <c r="A220" t="str">
        <f t="shared" si="183"/>
        <v>SALES &amp; USE TAX</v>
      </c>
      <c r="B220" s="95">
        <f t="shared" si="184"/>
        <v>0</v>
      </c>
      <c r="C220" s="95">
        <f t="shared" si="185"/>
        <v>0</v>
      </c>
      <c r="D220" s="95">
        <f t="shared" si="186"/>
        <v>0</v>
      </c>
      <c r="E220" s="101">
        <f t="shared" ref="E220:E235" si="187">B178</f>
        <v>0</v>
      </c>
      <c r="F220" s="109">
        <f t="shared" ref="F220:F236" si="188">IFERROR(AVERAGE((E220/D220),(D220/C220),(C220/B220))-1,0)</f>
        <v>0</v>
      </c>
      <c r="G220" s="110">
        <v>0</v>
      </c>
      <c r="H220" s="111">
        <f t="shared" ref="H220:H235" si="189">IFERROR(E220*(1+G220),0)</f>
        <v>0</v>
      </c>
      <c r="I220" s="104"/>
      <c r="J220" s="104"/>
      <c r="K220" s="104"/>
      <c r="L220" s="104"/>
      <c r="M220" s="104"/>
      <c r="N220" s="104"/>
    </row>
    <row r="221" spans="1:14" x14ac:dyDescent="0.3">
      <c r="A221" t="str">
        <f t="shared" si="183"/>
        <v>FEES &amp; PERMITS</v>
      </c>
      <c r="B221" s="95">
        <f t="shared" si="184"/>
        <v>0</v>
      </c>
      <c r="C221" s="95">
        <f t="shared" si="185"/>
        <v>0</v>
      </c>
      <c r="D221" s="95">
        <f t="shared" si="186"/>
        <v>0</v>
      </c>
      <c r="E221" s="101">
        <f t="shared" si="187"/>
        <v>0</v>
      </c>
      <c r="F221" s="109">
        <f t="shared" si="188"/>
        <v>0</v>
      </c>
      <c r="G221" s="110">
        <v>0</v>
      </c>
      <c r="H221" s="111">
        <f t="shared" si="189"/>
        <v>0</v>
      </c>
      <c r="I221" s="104"/>
      <c r="J221" s="104"/>
      <c r="K221" s="104"/>
      <c r="L221" s="104"/>
      <c r="M221" s="104"/>
      <c r="N221" s="104"/>
    </row>
    <row r="222" spans="1:14" x14ac:dyDescent="0.3">
      <c r="A222" t="str">
        <f t="shared" si="183"/>
        <v>FISCAL DISPARITIES</v>
      </c>
      <c r="B222" s="95">
        <f t="shared" si="184"/>
        <v>96723908</v>
      </c>
      <c r="C222" s="95">
        <f t="shared" si="185"/>
        <v>99653142</v>
      </c>
      <c r="D222" s="95">
        <f t="shared" si="186"/>
        <v>102642800</v>
      </c>
      <c r="E222" s="101">
        <f t="shared" si="187"/>
        <v>102628560</v>
      </c>
      <c r="F222" s="109">
        <f t="shared" si="188"/>
        <v>2.0048797915627636E-2</v>
      </c>
      <c r="G222" s="110">
        <v>0</v>
      </c>
      <c r="H222" s="111">
        <f t="shared" si="189"/>
        <v>102628560</v>
      </c>
      <c r="I222" s="104"/>
      <c r="J222" s="104"/>
      <c r="K222" s="104"/>
      <c r="L222" s="104"/>
      <c r="M222" s="104"/>
      <c r="N222" s="104"/>
    </row>
    <row r="223" spans="1:14" x14ac:dyDescent="0.3">
      <c r="A223" t="str">
        <f t="shared" si="183"/>
        <v>BUSINESS LICENSE TAXES</v>
      </c>
      <c r="B223" s="95">
        <f t="shared" si="184"/>
        <v>0</v>
      </c>
      <c r="C223" s="95">
        <f t="shared" si="185"/>
        <v>0</v>
      </c>
      <c r="D223" s="95">
        <f t="shared" si="186"/>
        <v>0</v>
      </c>
      <c r="E223" s="101">
        <f t="shared" si="187"/>
        <v>0</v>
      </c>
      <c r="F223" s="109">
        <f t="shared" si="188"/>
        <v>0</v>
      </c>
      <c r="G223" s="110">
        <v>0</v>
      </c>
      <c r="H223" s="111">
        <f t="shared" si="189"/>
        <v>0</v>
      </c>
      <c r="I223" s="104"/>
      <c r="J223" s="104"/>
      <c r="K223" s="104"/>
      <c r="L223" s="104"/>
      <c r="M223" s="104"/>
      <c r="N223" s="104"/>
    </row>
    <row r="224" spans="1:14" x14ac:dyDescent="0.3">
      <c r="A224" t="str">
        <f t="shared" si="183"/>
        <v>INTRAGOVT SVC CHARGES</v>
      </c>
      <c r="B224" s="95">
        <f t="shared" si="184"/>
        <v>0</v>
      </c>
      <c r="C224" s="95">
        <f t="shared" si="185"/>
        <v>0</v>
      </c>
      <c r="D224" s="95">
        <f t="shared" si="186"/>
        <v>0</v>
      </c>
      <c r="E224" s="101">
        <f t="shared" si="187"/>
        <v>0</v>
      </c>
      <c r="F224" s="109">
        <f t="shared" si="188"/>
        <v>0</v>
      </c>
      <c r="G224" s="110">
        <v>0</v>
      </c>
      <c r="H224" s="111">
        <f t="shared" si="189"/>
        <v>0</v>
      </c>
      <c r="I224" s="104"/>
      <c r="J224" s="104"/>
      <c r="K224" s="104"/>
      <c r="L224" s="104"/>
      <c r="M224" s="104"/>
      <c r="N224" s="104"/>
    </row>
    <row r="225" spans="1:14" x14ac:dyDescent="0.3">
      <c r="A225" t="str">
        <f t="shared" si="183"/>
        <v>INTERGOVT REVENUES</v>
      </c>
      <c r="B225" s="95">
        <f t="shared" si="184"/>
        <v>241047547</v>
      </c>
      <c r="C225" s="95">
        <f t="shared" si="185"/>
        <v>239927511</v>
      </c>
      <c r="D225" s="95">
        <f t="shared" si="186"/>
        <v>242383168</v>
      </c>
      <c r="E225" s="101">
        <f t="shared" si="187"/>
        <v>248583199.80000001</v>
      </c>
      <c r="F225" s="109">
        <f t="shared" si="188"/>
        <v>1.0389308369677108E-2</v>
      </c>
      <c r="G225" s="110">
        <v>0.01</v>
      </c>
      <c r="H225" s="111">
        <f t="shared" si="189"/>
        <v>251069031.79800001</v>
      </c>
      <c r="I225" s="104"/>
      <c r="J225" s="104"/>
      <c r="K225" s="104"/>
      <c r="L225" s="104"/>
      <c r="M225" s="104"/>
      <c r="N225" s="104"/>
    </row>
    <row r="226" spans="1:14" x14ac:dyDescent="0.3">
      <c r="A226" t="str">
        <f t="shared" si="183"/>
        <v>REIMBURSEMENTS</v>
      </c>
      <c r="B226" s="95">
        <f t="shared" si="184"/>
        <v>0</v>
      </c>
      <c r="C226" s="95">
        <f t="shared" si="185"/>
        <v>0</v>
      </c>
      <c r="D226" s="95">
        <f t="shared" si="186"/>
        <v>0</v>
      </c>
      <c r="E226" s="101">
        <f t="shared" si="187"/>
        <v>0</v>
      </c>
      <c r="F226" s="109">
        <f t="shared" si="188"/>
        <v>0</v>
      </c>
      <c r="G226" s="110">
        <v>0</v>
      </c>
      <c r="H226" s="111">
        <f t="shared" si="189"/>
        <v>0</v>
      </c>
      <c r="I226" s="104"/>
      <c r="J226" s="104"/>
      <c r="K226" s="104"/>
      <c r="L226" s="104"/>
      <c r="M226" s="104"/>
      <c r="N226" s="104"/>
    </row>
    <row r="227" spans="1:14" x14ac:dyDescent="0.3">
      <c r="A227" t="str">
        <f t="shared" si="183"/>
        <v>DONATIONS/CONTRIBS/ INV INCOME</v>
      </c>
      <c r="B227" s="95">
        <f t="shared" si="184"/>
        <v>5633100</v>
      </c>
      <c r="C227" s="95">
        <f t="shared" si="185"/>
        <v>7036993</v>
      </c>
      <c r="D227" s="95">
        <f t="shared" si="186"/>
        <v>5674163</v>
      </c>
      <c r="E227" s="101">
        <f t="shared" si="187"/>
        <v>4376965</v>
      </c>
      <c r="F227" s="109">
        <f t="shared" si="188"/>
        <v>-5.7686431108845415E-2</v>
      </c>
      <c r="G227" s="110">
        <v>-0.15</v>
      </c>
      <c r="H227" s="111">
        <f t="shared" si="189"/>
        <v>3720420.25</v>
      </c>
      <c r="I227" s="104"/>
      <c r="J227" s="104"/>
      <c r="K227" s="104"/>
      <c r="L227" s="104"/>
      <c r="M227" s="104"/>
      <c r="N227" s="104"/>
    </row>
    <row r="228" spans="1:14" x14ac:dyDescent="0.3">
      <c r="A228" t="str">
        <f t="shared" si="183"/>
        <v>FINES &amp; FORFEITURES</v>
      </c>
      <c r="B228" s="95">
        <f t="shared" si="184"/>
        <v>0</v>
      </c>
      <c r="C228" s="95">
        <f t="shared" si="185"/>
        <v>0</v>
      </c>
      <c r="D228" s="95">
        <f t="shared" si="186"/>
        <v>0</v>
      </c>
      <c r="E228" s="101">
        <f t="shared" si="187"/>
        <v>0</v>
      </c>
      <c r="F228" s="109">
        <f t="shared" si="188"/>
        <v>0</v>
      </c>
      <c r="G228" s="110">
        <v>0</v>
      </c>
      <c r="H228" s="111">
        <f t="shared" si="189"/>
        <v>0</v>
      </c>
      <c r="I228" s="104"/>
      <c r="J228" s="104"/>
      <c r="K228" s="104"/>
      <c r="L228" s="104"/>
      <c r="M228" s="104"/>
      <c r="N228" s="104"/>
    </row>
    <row r="229" spans="1:14" x14ac:dyDescent="0.3">
      <c r="A229" t="str">
        <f t="shared" si="183"/>
        <v>USE OF MONEY &amp; PROPERTY</v>
      </c>
      <c r="B229" s="95">
        <f t="shared" si="184"/>
        <v>0</v>
      </c>
      <c r="C229" s="95">
        <f t="shared" si="185"/>
        <v>0</v>
      </c>
      <c r="D229" s="95">
        <f t="shared" si="186"/>
        <v>0</v>
      </c>
      <c r="E229" s="101">
        <f t="shared" si="187"/>
        <v>0</v>
      </c>
      <c r="F229" s="109">
        <f t="shared" si="188"/>
        <v>0</v>
      </c>
      <c r="G229" s="110">
        <v>0</v>
      </c>
      <c r="H229" s="111">
        <f t="shared" si="189"/>
        <v>0</v>
      </c>
      <c r="I229" s="104"/>
      <c r="J229" s="104"/>
      <c r="K229" s="104"/>
      <c r="L229" s="104"/>
      <c r="M229" s="104"/>
      <c r="N229" s="104"/>
    </row>
    <row r="230" spans="1:14" x14ac:dyDescent="0.3">
      <c r="A230" t="str">
        <f t="shared" si="183"/>
        <v>OTHER SOURCES / INV MATURITIES</v>
      </c>
      <c r="B230" s="95">
        <f t="shared" si="184"/>
        <v>72473335</v>
      </c>
      <c r="C230" s="95">
        <f t="shared" si="185"/>
        <v>71767798.629999995</v>
      </c>
      <c r="D230" s="95">
        <f t="shared" si="186"/>
        <v>58198891</v>
      </c>
      <c r="E230" s="101">
        <f t="shared" si="187"/>
        <v>43937000</v>
      </c>
      <c r="F230" s="109">
        <f t="shared" si="188"/>
        <v>-0.14795208470624077</v>
      </c>
      <c r="G230" s="110">
        <v>0</v>
      </c>
      <c r="H230" s="111">
        <f t="shared" si="189"/>
        <v>43937000</v>
      </c>
      <c r="I230" s="104"/>
      <c r="J230" s="104"/>
      <c r="K230" s="104"/>
      <c r="L230" s="104"/>
      <c r="M230" s="104"/>
      <c r="N230" s="104"/>
    </row>
    <row r="231" spans="1:14" x14ac:dyDescent="0.3">
      <c r="A231" t="str">
        <f t="shared" si="183"/>
        <v>TRANSIT TAX</v>
      </c>
      <c r="B231" s="95">
        <f t="shared" si="184"/>
        <v>11692376</v>
      </c>
      <c r="C231" s="95">
        <f t="shared" si="185"/>
        <v>12601073</v>
      </c>
      <c r="D231" s="95">
        <f t="shared" si="186"/>
        <v>9329003</v>
      </c>
      <c r="E231" s="101">
        <f t="shared" si="187"/>
        <v>12000000.000000002</v>
      </c>
      <c r="F231" s="109">
        <f t="shared" si="188"/>
        <v>3.4787386084823346E-2</v>
      </c>
      <c r="G231" s="110">
        <v>0</v>
      </c>
      <c r="H231" s="111">
        <f t="shared" si="189"/>
        <v>12000000.000000002</v>
      </c>
      <c r="I231" s="104"/>
      <c r="J231" s="104"/>
      <c r="K231" s="104"/>
      <c r="L231" s="104"/>
      <c r="M231" s="104"/>
      <c r="N231" s="104"/>
    </row>
    <row r="232" spans="1:14" x14ac:dyDescent="0.3">
      <c r="A232" t="str">
        <f t="shared" si="183"/>
        <v>PARK</v>
      </c>
      <c r="B232" s="95">
        <f t="shared" si="184"/>
        <v>4628261</v>
      </c>
      <c r="C232" s="95">
        <f t="shared" si="185"/>
        <v>4479670</v>
      </c>
      <c r="D232" s="95">
        <f t="shared" si="186"/>
        <v>2729451</v>
      </c>
      <c r="E232" s="101">
        <f t="shared" si="187"/>
        <v>5007943.4300000006</v>
      </c>
      <c r="F232" s="109">
        <f t="shared" si="188"/>
        <v>0.13732422491400542</v>
      </c>
      <c r="G232" s="110">
        <v>0.03</v>
      </c>
      <c r="H232" s="111">
        <f t="shared" si="189"/>
        <v>5158181.7329000011</v>
      </c>
      <c r="I232" s="104"/>
      <c r="J232" s="104"/>
      <c r="K232" s="104"/>
      <c r="L232" s="104"/>
      <c r="M232" s="104"/>
      <c r="N232" s="104"/>
    </row>
    <row r="233" spans="1:14" x14ac:dyDescent="0.3">
      <c r="A233" t="str">
        <f t="shared" si="183"/>
        <v>LIBRARY</v>
      </c>
      <c r="B233" s="95">
        <f t="shared" si="184"/>
        <v>604126</v>
      </c>
      <c r="C233" s="95">
        <f t="shared" si="185"/>
        <v>667388</v>
      </c>
      <c r="D233" s="95">
        <f>B148</f>
        <v>746717</v>
      </c>
      <c r="E233" s="101">
        <f t="shared" si="187"/>
        <v>662904.91000000015</v>
      </c>
      <c r="F233" s="109">
        <f t="shared" si="188"/>
        <v>3.7113561783153726E-2</v>
      </c>
      <c r="G233" s="110">
        <v>0.03</v>
      </c>
      <c r="H233" s="111">
        <f t="shared" si="189"/>
        <v>682792.05730000022</v>
      </c>
      <c r="I233" s="104"/>
      <c r="J233" s="104"/>
      <c r="K233" s="104"/>
      <c r="L233" s="104"/>
      <c r="M233" s="104"/>
      <c r="N233" s="104"/>
    </row>
    <row r="234" spans="1:14" x14ac:dyDescent="0.3">
      <c r="A234" t="str">
        <f t="shared" si="183"/>
        <v>FINANCING PROCEEDS</v>
      </c>
      <c r="B234" s="95">
        <f t="shared" si="184"/>
        <v>0</v>
      </c>
      <c r="C234" s="95">
        <f t="shared" si="185"/>
        <v>8787056.6600000001</v>
      </c>
      <c r="D234" s="95">
        <f>B149</f>
        <v>11548502</v>
      </c>
      <c r="E234" s="101">
        <f t="shared" si="187"/>
        <v>11548502</v>
      </c>
      <c r="F234" s="109">
        <f t="shared" si="188"/>
        <v>0</v>
      </c>
      <c r="G234" s="110">
        <v>0</v>
      </c>
      <c r="H234" s="111">
        <f t="shared" si="189"/>
        <v>11548502</v>
      </c>
      <c r="I234" s="104"/>
      <c r="J234" s="104"/>
      <c r="K234" s="104"/>
      <c r="L234" s="104"/>
      <c r="M234" s="104"/>
      <c r="N234" s="104"/>
    </row>
    <row r="235" spans="1:14" x14ac:dyDescent="0.3">
      <c r="A235" t="str">
        <f t="shared" si="183"/>
        <v>OTHER NON-RECURRING SOURCES</v>
      </c>
      <c r="B235" s="95">
        <f t="shared" si="184"/>
        <v>0</v>
      </c>
      <c r="C235" s="95">
        <f t="shared" si="185"/>
        <v>0</v>
      </c>
      <c r="D235" s="95">
        <f>B150</f>
        <v>0</v>
      </c>
      <c r="E235" s="101">
        <f t="shared" si="187"/>
        <v>0</v>
      </c>
      <c r="F235" s="109">
        <f t="shared" si="188"/>
        <v>0</v>
      </c>
      <c r="G235" s="110">
        <v>0</v>
      </c>
      <c r="H235" s="111">
        <f t="shared" si="189"/>
        <v>0</v>
      </c>
      <c r="I235" s="104"/>
      <c r="J235" s="104"/>
      <c r="K235" s="104"/>
      <c r="L235" s="104"/>
      <c r="M235" s="104"/>
      <c r="N235" s="104"/>
    </row>
    <row r="236" spans="1:14" x14ac:dyDescent="0.3">
      <c r="A236" s="35" t="s">
        <v>8</v>
      </c>
      <c r="B236" s="97">
        <f>SUM(B219:B235)</f>
        <v>943080676</v>
      </c>
      <c r="C236" s="97">
        <f>SUM(C219:C235)</f>
        <v>992342779.28999996</v>
      </c>
      <c r="D236" s="97">
        <f>SUM(D219:D235)</f>
        <v>991465857</v>
      </c>
      <c r="E236" s="97">
        <f>SUM(E219:E235)</f>
        <v>982664069.13999987</v>
      </c>
      <c r="F236" s="112">
        <f t="shared" si="188"/>
        <v>1.4158020765798973E-2</v>
      </c>
      <c r="G236" s="104"/>
      <c r="H236" s="97">
        <f>SUM(H219:H235)</f>
        <v>1001281051.6582</v>
      </c>
      <c r="I236" s="104"/>
      <c r="J236" s="104"/>
      <c r="K236" s="104"/>
      <c r="L236" s="104"/>
      <c r="M236" s="104"/>
      <c r="N236" s="104"/>
    </row>
    <row r="237" spans="1:14" x14ac:dyDescent="0.3">
      <c r="A237" s="7" t="s">
        <v>7</v>
      </c>
      <c r="B237" s="98"/>
      <c r="C237" s="98"/>
      <c r="D237" s="98"/>
      <c r="E237" s="98"/>
      <c r="F237" s="104"/>
      <c r="G237" s="104"/>
      <c r="H237" s="104"/>
      <c r="I237" s="104"/>
      <c r="J237" s="104"/>
      <c r="K237" s="104"/>
      <c r="L237" s="104"/>
      <c r="M237" s="104"/>
      <c r="N237" s="104"/>
    </row>
    <row r="238" spans="1:14" x14ac:dyDescent="0.3">
      <c r="A238" t="str">
        <f t="shared" ref="A238:A254" si="190">A28</f>
        <v>SALARIES &amp; WAGES</v>
      </c>
      <c r="B238" s="95">
        <f t="shared" ref="B238:B254" si="191">B69</f>
        <v>113980179</v>
      </c>
      <c r="C238" s="95">
        <f t="shared" ref="C238:C254" si="192">B28</f>
        <v>117236289</v>
      </c>
      <c r="D238" s="95">
        <f t="shared" ref="D238:D248" si="193">B153</f>
        <v>116122286</v>
      </c>
      <c r="E238" s="95">
        <f>B196</f>
        <v>121266600</v>
      </c>
      <c r="F238" s="109">
        <f t="shared" ref="F238:F256" si="194">IFERROR(AVERAGE((E238/D238),(D238/C238),(C238/B238))-1,0)</f>
        <v>2.1121988508942424E-2</v>
      </c>
      <c r="G238" s="110">
        <v>0.05</v>
      </c>
      <c r="H238" s="111">
        <f t="shared" ref="H238:H254" si="195">IFERROR(E238*(1+G238),0)</f>
        <v>127329930</v>
      </c>
      <c r="I238" s="114" t="s">
        <v>125</v>
      </c>
      <c r="J238" s="104"/>
      <c r="K238" s="104"/>
      <c r="L238" s="114"/>
      <c r="M238" s="104"/>
      <c r="N238" s="104"/>
    </row>
    <row r="239" spans="1:14" x14ac:dyDescent="0.3">
      <c r="A239" t="str">
        <f t="shared" si="190"/>
        <v>BENEFITS</v>
      </c>
      <c r="B239" s="95">
        <f t="shared" si="191"/>
        <v>22977569</v>
      </c>
      <c r="C239" s="95">
        <f t="shared" si="192"/>
        <v>23936769</v>
      </c>
      <c r="D239" s="95">
        <f t="shared" si="193"/>
        <v>24579921</v>
      </c>
      <c r="E239" s="95">
        <f t="shared" ref="E239:E254" si="196">B197</f>
        <v>24897600</v>
      </c>
      <c r="F239" s="109">
        <f t="shared" si="194"/>
        <v>2.7179392970413607E-2</v>
      </c>
      <c r="G239" s="110">
        <v>0.05</v>
      </c>
      <c r="H239" s="111">
        <f t="shared" si="195"/>
        <v>26142480</v>
      </c>
      <c r="I239" s="114" t="s">
        <v>124</v>
      </c>
      <c r="J239" s="104"/>
      <c r="K239" s="104"/>
      <c r="L239" s="114"/>
      <c r="M239" s="104"/>
      <c r="N239" s="104"/>
    </row>
    <row r="240" spans="1:14" x14ac:dyDescent="0.3">
      <c r="A240" t="str">
        <f t="shared" si="190"/>
        <v>CONTRACTUAL SERVICES</v>
      </c>
      <c r="B240" s="95">
        <f t="shared" si="191"/>
        <v>212241208</v>
      </c>
      <c r="C240" s="95">
        <f t="shared" si="192"/>
        <v>238247691</v>
      </c>
      <c r="D240" s="95">
        <f t="shared" si="193"/>
        <v>245408479</v>
      </c>
      <c r="E240" s="95">
        <f t="shared" si="196"/>
        <v>244791476.83999997</v>
      </c>
      <c r="F240" s="109">
        <f t="shared" si="194"/>
        <v>5.0024851818684546E-2</v>
      </c>
      <c r="G240" s="110">
        <v>0.03</v>
      </c>
      <c r="H240" s="111">
        <f t="shared" si="195"/>
        <v>252135221.14519998</v>
      </c>
      <c r="I240" s="114" t="s">
        <v>126</v>
      </c>
      <c r="J240" s="104"/>
      <c r="K240" s="104"/>
      <c r="L240" s="114"/>
      <c r="M240" s="104"/>
      <c r="N240" s="104"/>
    </row>
    <row r="241" spans="1:14" x14ac:dyDescent="0.3">
      <c r="A241" t="str">
        <f t="shared" si="190"/>
        <v>UTILITIES</v>
      </c>
      <c r="B241" s="95">
        <f t="shared" si="191"/>
        <v>0</v>
      </c>
      <c r="C241" s="95">
        <f t="shared" si="192"/>
        <v>0</v>
      </c>
      <c r="D241" s="95">
        <f t="shared" si="193"/>
        <v>0</v>
      </c>
      <c r="E241" s="95">
        <f t="shared" si="196"/>
        <v>0</v>
      </c>
      <c r="F241" s="109">
        <f t="shared" si="194"/>
        <v>0</v>
      </c>
      <c r="G241" s="110">
        <v>0</v>
      </c>
      <c r="H241" s="111">
        <f t="shared" si="195"/>
        <v>0</v>
      </c>
      <c r="I241" s="104"/>
      <c r="J241" s="104"/>
      <c r="K241" s="104"/>
      <c r="L241" s="104"/>
      <c r="M241" s="104"/>
      <c r="N241" s="104"/>
    </row>
    <row r="242" spans="1:14" x14ac:dyDescent="0.3">
      <c r="A242" t="str">
        <f t="shared" si="190"/>
        <v>MAINTENANCE AND REPAIRS</v>
      </c>
      <c r="B242" s="95">
        <f t="shared" si="191"/>
        <v>0</v>
      </c>
      <c r="C242" s="95">
        <f t="shared" si="192"/>
        <v>0</v>
      </c>
      <c r="D242" s="95">
        <f t="shared" si="193"/>
        <v>0</v>
      </c>
      <c r="E242" s="95">
        <f t="shared" si="196"/>
        <v>0</v>
      </c>
      <c r="F242" s="109">
        <f t="shared" si="194"/>
        <v>0</v>
      </c>
      <c r="G242" s="110">
        <v>0</v>
      </c>
      <c r="H242" s="111">
        <f t="shared" si="195"/>
        <v>0</v>
      </c>
      <c r="I242" s="104"/>
      <c r="J242" s="104"/>
      <c r="K242" s="104"/>
      <c r="L242" s="104"/>
      <c r="M242" s="104"/>
      <c r="N242" s="104"/>
    </row>
    <row r="243" spans="1:14" x14ac:dyDescent="0.3">
      <c r="A243" t="str">
        <f t="shared" si="190"/>
        <v>FISCAL DISPARITIES</v>
      </c>
      <c r="B243" s="95">
        <f t="shared" si="191"/>
        <v>66691562</v>
      </c>
      <c r="C243" s="95">
        <f t="shared" si="192"/>
        <v>67195744</v>
      </c>
      <c r="D243" s="95">
        <f t="shared" si="193"/>
        <v>69211600</v>
      </c>
      <c r="E243" s="95">
        <f t="shared" si="196"/>
        <v>69982347</v>
      </c>
      <c r="F243" s="109">
        <f t="shared" si="194"/>
        <v>1.6231919904940995E-2</v>
      </c>
      <c r="G243" s="110">
        <v>0</v>
      </c>
      <c r="H243" s="111">
        <f t="shared" si="195"/>
        <v>69982347</v>
      </c>
      <c r="I243" s="104"/>
      <c r="J243" s="104"/>
      <c r="K243" s="104"/>
      <c r="L243" s="104"/>
      <c r="M243" s="104"/>
      <c r="N243" s="104"/>
    </row>
    <row r="244" spans="1:14" x14ac:dyDescent="0.3">
      <c r="A244" t="str">
        <f t="shared" si="190"/>
        <v>CAPITAL</v>
      </c>
      <c r="B244" s="95">
        <f t="shared" si="191"/>
        <v>0</v>
      </c>
      <c r="C244" s="95">
        <f t="shared" si="192"/>
        <v>0</v>
      </c>
      <c r="D244" s="95">
        <f t="shared" si="193"/>
        <v>0</v>
      </c>
      <c r="E244" s="95">
        <f t="shared" si="196"/>
        <v>0</v>
      </c>
      <c r="F244" s="109">
        <f t="shared" si="194"/>
        <v>0</v>
      </c>
      <c r="G244" s="110">
        <v>0</v>
      </c>
      <c r="H244" s="111">
        <f t="shared" si="195"/>
        <v>0</v>
      </c>
      <c r="I244" s="104"/>
      <c r="J244" s="104"/>
      <c r="K244" s="104"/>
      <c r="L244" s="104"/>
      <c r="M244" s="104"/>
      <c r="N244" s="104"/>
    </row>
    <row r="245" spans="1:14" x14ac:dyDescent="0.3">
      <c r="A245" t="str">
        <f t="shared" si="190"/>
        <v>GRANTS</v>
      </c>
      <c r="B245" s="95">
        <f t="shared" si="191"/>
        <v>0</v>
      </c>
      <c r="C245" s="95">
        <f t="shared" si="192"/>
        <v>0</v>
      </c>
      <c r="D245" s="95">
        <f t="shared" si="193"/>
        <v>0</v>
      </c>
      <c r="E245" s="95">
        <f t="shared" si="196"/>
        <v>0</v>
      </c>
      <c r="F245" s="109">
        <f t="shared" si="194"/>
        <v>0</v>
      </c>
      <c r="G245" s="110">
        <v>0</v>
      </c>
      <c r="H245" s="111">
        <f t="shared" si="195"/>
        <v>0</v>
      </c>
      <c r="I245" s="104"/>
      <c r="J245" s="104"/>
      <c r="K245" s="104"/>
      <c r="L245" s="104"/>
      <c r="M245" s="104"/>
      <c r="N245" s="104"/>
    </row>
    <row r="246" spans="1:14" x14ac:dyDescent="0.3">
      <c r="A246" t="str">
        <f t="shared" si="190"/>
        <v>TRANSFERS/OTHER</v>
      </c>
      <c r="B246" s="95">
        <f t="shared" si="191"/>
        <v>0</v>
      </c>
      <c r="C246" s="95">
        <f t="shared" si="192"/>
        <v>0</v>
      </c>
      <c r="D246" s="95">
        <f t="shared" si="193"/>
        <v>0</v>
      </c>
      <c r="E246" s="95">
        <f t="shared" si="196"/>
        <v>0</v>
      </c>
      <c r="F246" s="109">
        <f t="shared" si="194"/>
        <v>0</v>
      </c>
      <c r="G246" s="110">
        <v>0</v>
      </c>
      <c r="H246" s="111">
        <f t="shared" si="195"/>
        <v>0</v>
      </c>
      <c r="I246" s="104"/>
      <c r="J246" s="104"/>
      <c r="K246" s="104"/>
      <c r="L246" s="104"/>
      <c r="M246" s="104"/>
      <c r="N246" s="104"/>
    </row>
    <row r="247" spans="1:14" x14ac:dyDescent="0.3">
      <c r="A247" t="str">
        <f t="shared" si="190"/>
        <v>MTGE/DEED/TAXES/FEES</v>
      </c>
      <c r="B247" s="95">
        <f t="shared" si="191"/>
        <v>15406464</v>
      </c>
      <c r="C247" s="95">
        <f t="shared" si="192"/>
        <v>15298075</v>
      </c>
      <c r="D247" s="95">
        <f t="shared" si="193"/>
        <v>15443863</v>
      </c>
      <c r="E247" s="95">
        <f t="shared" si="196"/>
        <v>15723917.000000002</v>
      </c>
      <c r="F247" s="109">
        <f t="shared" si="194"/>
        <v>6.8760694002847345E-3</v>
      </c>
      <c r="G247" s="110">
        <v>0</v>
      </c>
      <c r="H247" s="111">
        <f t="shared" si="195"/>
        <v>15723917.000000002</v>
      </c>
      <c r="I247" s="104"/>
      <c r="J247" s="104"/>
      <c r="K247" s="104"/>
      <c r="L247" s="104"/>
      <c r="M247" s="104"/>
      <c r="N247" s="104"/>
    </row>
    <row r="248" spans="1:14" x14ac:dyDescent="0.3">
      <c r="A248" t="str">
        <f t="shared" si="190"/>
        <v>DEBT PYMTS</v>
      </c>
      <c r="B248" s="95">
        <f t="shared" si="191"/>
        <v>15908810</v>
      </c>
      <c r="C248" s="95">
        <f t="shared" si="192"/>
        <v>25067587</v>
      </c>
      <c r="D248" s="95">
        <f t="shared" si="193"/>
        <v>33978715</v>
      </c>
      <c r="E248" s="95">
        <f t="shared" si="196"/>
        <v>16061980</v>
      </c>
      <c r="F248" s="109">
        <f t="shared" si="194"/>
        <v>0.13463196683937695</v>
      </c>
      <c r="G248" s="110">
        <v>0</v>
      </c>
      <c r="H248" s="111">
        <f t="shared" si="195"/>
        <v>16061980</v>
      </c>
      <c r="I248" s="104"/>
      <c r="J248" s="104"/>
      <c r="K248" s="104"/>
      <c r="L248" s="104"/>
      <c r="M248" s="104"/>
      <c r="N248" s="104"/>
    </row>
    <row r="249" spans="1:14" x14ac:dyDescent="0.3">
      <c r="A249" t="str">
        <f t="shared" si="190"/>
        <v>TAX DISTRIBUTION PYMTS</v>
      </c>
      <c r="B249" s="95">
        <f t="shared" si="191"/>
        <v>386218436</v>
      </c>
      <c r="C249" s="95">
        <f t="shared" si="192"/>
        <v>410674494</v>
      </c>
      <c r="D249" s="95">
        <f t="shared" ref="D249:D254" si="197">B164</f>
        <v>423052393</v>
      </c>
      <c r="E249" s="95">
        <f t="shared" si="196"/>
        <v>421746356.46000004</v>
      </c>
      <c r="F249" s="109">
        <f t="shared" si="194"/>
        <v>3.012502283734686E-2</v>
      </c>
      <c r="G249" s="110">
        <v>0.03</v>
      </c>
      <c r="H249" s="111">
        <f t="shared" si="195"/>
        <v>434398747.15380007</v>
      </c>
      <c r="I249" s="104"/>
      <c r="J249" s="104"/>
      <c r="K249" s="104"/>
      <c r="L249" s="104"/>
      <c r="M249" s="104"/>
      <c r="N249" s="104"/>
    </row>
    <row r="250" spans="1:14" x14ac:dyDescent="0.3">
      <c r="A250" t="str">
        <f t="shared" si="190"/>
        <v xml:space="preserve">INVESTMENT PURCHASES </v>
      </c>
      <c r="B250" s="95">
        <f t="shared" si="191"/>
        <v>-112132631.13</v>
      </c>
      <c r="C250" s="95">
        <f t="shared" si="192"/>
        <v>-72656716.060000002</v>
      </c>
      <c r="D250" s="95">
        <f t="shared" si="197"/>
        <v>28633628</v>
      </c>
      <c r="E250" s="95">
        <f t="shared" si="196"/>
        <v>22413216.364110935</v>
      </c>
      <c r="F250" s="109">
        <f t="shared" si="194"/>
        <v>-0.65446094201216365</v>
      </c>
      <c r="G250" s="110">
        <v>0</v>
      </c>
      <c r="H250" s="111">
        <f t="shared" si="195"/>
        <v>22413216.364110935</v>
      </c>
      <c r="I250" s="104"/>
      <c r="J250" s="104"/>
      <c r="K250" s="104"/>
      <c r="L250" s="104"/>
      <c r="M250" s="104"/>
      <c r="N250" s="104"/>
    </row>
    <row r="251" spans="1:14" x14ac:dyDescent="0.3">
      <c r="A251" t="str">
        <f t="shared" si="190"/>
        <v>OTHER EXPENSES/USES</v>
      </c>
      <c r="B251" s="95">
        <f t="shared" si="191"/>
        <v>0</v>
      </c>
      <c r="C251" s="95">
        <f t="shared" si="192"/>
        <v>0</v>
      </c>
      <c r="D251" s="95">
        <f t="shared" si="197"/>
        <v>0</v>
      </c>
      <c r="E251" s="95">
        <f t="shared" si="196"/>
        <v>0</v>
      </c>
      <c r="F251" s="109">
        <f t="shared" si="194"/>
        <v>0</v>
      </c>
      <c r="G251" s="110">
        <v>0</v>
      </c>
      <c r="H251" s="111">
        <f t="shared" si="195"/>
        <v>0</v>
      </c>
      <c r="I251" s="104"/>
      <c r="J251" s="104"/>
      <c r="K251" s="104"/>
      <c r="L251" s="104"/>
      <c r="M251" s="104"/>
      <c r="N251" s="104"/>
    </row>
    <row r="252" spans="1:14" x14ac:dyDescent="0.3">
      <c r="A252" t="str">
        <f t="shared" si="190"/>
        <v>OTHER EXPENSES/USES</v>
      </c>
      <c r="B252" s="95">
        <f t="shared" si="191"/>
        <v>0</v>
      </c>
      <c r="C252" s="95">
        <f t="shared" si="192"/>
        <v>0</v>
      </c>
      <c r="D252" s="95">
        <f t="shared" si="197"/>
        <v>0</v>
      </c>
      <c r="E252" s="95">
        <f t="shared" si="196"/>
        <v>0</v>
      </c>
      <c r="F252" s="109">
        <f t="shared" si="194"/>
        <v>0</v>
      </c>
      <c r="G252" s="110">
        <v>0</v>
      </c>
      <c r="H252" s="111">
        <f t="shared" si="195"/>
        <v>0</v>
      </c>
      <c r="I252" s="104"/>
      <c r="J252" s="104"/>
      <c r="K252" s="104"/>
      <c r="L252" s="104"/>
      <c r="M252" s="104"/>
      <c r="N252" s="104"/>
    </row>
    <row r="253" spans="1:14" x14ac:dyDescent="0.3">
      <c r="A253" t="str">
        <f t="shared" si="190"/>
        <v>OTHER EXPENSES/USES</v>
      </c>
      <c r="B253" s="95">
        <f t="shared" si="191"/>
        <v>0</v>
      </c>
      <c r="C253" s="95">
        <f t="shared" si="192"/>
        <v>0</v>
      </c>
      <c r="D253" s="95">
        <f t="shared" si="197"/>
        <v>0</v>
      </c>
      <c r="E253" s="95">
        <f t="shared" si="196"/>
        <v>0</v>
      </c>
      <c r="F253" s="109">
        <f t="shared" si="194"/>
        <v>0</v>
      </c>
      <c r="G253" s="110">
        <v>0</v>
      </c>
      <c r="H253" s="111">
        <f t="shared" si="195"/>
        <v>0</v>
      </c>
      <c r="I253" s="104"/>
      <c r="J253" s="104"/>
      <c r="K253" s="104"/>
      <c r="L253" s="104"/>
      <c r="M253" s="104"/>
      <c r="N253" s="104"/>
    </row>
    <row r="254" spans="1:14" x14ac:dyDescent="0.3">
      <c r="A254" t="str">
        <f t="shared" si="190"/>
        <v>OTHER NON-RECURRING USES</v>
      </c>
      <c r="B254" s="95">
        <f t="shared" si="191"/>
        <v>0</v>
      </c>
      <c r="C254" s="95">
        <f t="shared" si="192"/>
        <v>0</v>
      </c>
      <c r="D254" s="95">
        <f t="shared" si="197"/>
        <v>0</v>
      </c>
      <c r="E254" s="95">
        <f t="shared" si="196"/>
        <v>0</v>
      </c>
      <c r="F254" s="109">
        <f t="shared" si="194"/>
        <v>0</v>
      </c>
      <c r="G254" s="110">
        <v>0</v>
      </c>
      <c r="H254" s="111">
        <f t="shared" si="195"/>
        <v>0</v>
      </c>
      <c r="I254" s="104"/>
      <c r="J254" s="104"/>
      <c r="K254" s="104"/>
      <c r="L254" s="104"/>
      <c r="M254" s="104"/>
      <c r="N254" s="104"/>
    </row>
    <row r="255" spans="1:14" x14ac:dyDescent="0.3">
      <c r="A255" s="35" t="s">
        <v>9</v>
      </c>
      <c r="B255" s="106">
        <f>SUM(B238:B254)</f>
        <v>721291596.87</v>
      </c>
      <c r="C255" s="106">
        <f>SUM(C238:C254)</f>
        <v>824999932.94000006</v>
      </c>
      <c r="D255" s="106">
        <f>SUM(D238:D254)</f>
        <v>956430885</v>
      </c>
      <c r="E255" s="106">
        <f>SUM(E238:E254)</f>
        <v>936883493.6641109</v>
      </c>
      <c r="F255" s="112">
        <f t="shared" si="194"/>
        <v>9.4217945283962656E-2</v>
      </c>
      <c r="G255" s="104"/>
      <c r="H255" s="106">
        <f>SUM(H238:H254)</f>
        <v>964187838.66311097</v>
      </c>
      <c r="I255" s="104"/>
      <c r="J255" s="104"/>
      <c r="K255" s="104"/>
      <c r="L255" s="104"/>
      <c r="M255" s="104"/>
      <c r="N255" s="104"/>
    </row>
    <row r="256" spans="1:14" ht="15" thickBot="1" x14ac:dyDescent="0.35">
      <c r="A256" s="36" t="s">
        <v>10</v>
      </c>
      <c r="B256" s="107">
        <f>B236-B255</f>
        <v>221789079.13</v>
      </c>
      <c r="C256" s="107">
        <f>C236-C255</f>
        <v>167342846.3499999</v>
      </c>
      <c r="D256" s="107">
        <f>D236-D255</f>
        <v>35034972</v>
      </c>
      <c r="E256" s="107">
        <f>E236-E255</f>
        <v>45780575.475888968</v>
      </c>
      <c r="F256" s="113">
        <f t="shared" si="194"/>
        <v>-0.24313843966515092</v>
      </c>
      <c r="G256" s="104"/>
      <c r="H256" s="107">
        <f>H236-H255</f>
        <v>37093212.995089054</v>
      </c>
      <c r="I256" s="104"/>
      <c r="J256" s="104"/>
      <c r="K256" s="104"/>
      <c r="L256" s="104"/>
      <c r="M256" s="104"/>
      <c r="N256" s="104"/>
    </row>
  </sheetData>
  <sheetProtection algorithmName="SHA-512" hashValue="p6OESI3UnArbhPCpv/HetjzsuF+r1pfwVzwKBc2WQ8Z+Ydr6Z0Hwnt1MeYgsN8lxf6BB0lm0VJbj1miG0bv1Ag==" saltValue="fM93Kgw9dnFRkOUwRB3eZQ==" spinCount="100000" sheet="1" objects="1" scenarios="1"/>
  <mergeCells count="2">
    <mergeCell ref="I217:N217"/>
    <mergeCell ref="B3:C3"/>
  </mergeCells>
  <pageMargins left="0.7" right="0.7" top="0.75" bottom="0.75" header="0.3" footer="0.3"/>
  <pageSetup scale="61" fitToHeight="4" orientation="landscape" r:id="rId1"/>
  <headerFooter>
    <oddHeader>&amp;F</oddHeader>
    <oddFooter>&amp;C&amp;A&amp;R&amp;P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'5-FY Table'!$B$2:$B$37</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S92"/>
  <sheetViews>
    <sheetView zoomScale="80" zoomScaleNormal="80" workbookViewId="0">
      <pane ySplit="3" topLeftCell="A4" activePane="bottomLeft" state="frozen"/>
      <selection pane="bottomLeft" activeCell="H1" sqref="H1"/>
    </sheetView>
  </sheetViews>
  <sheetFormatPr defaultColWidth="8.6640625" defaultRowHeight="14.4" x14ac:dyDescent="0.3"/>
  <cols>
    <col min="3" max="3" width="11.109375" bestFit="1" customWidth="1"/>
    <col min="5" max="5" width="11.109375" bestFit="1" customWidth="1"/>
    <col min="6" max="7" width="9.109375" bestFit="1" customWidth="1"/>
    <col min="8" max="8" width="9.88671875" bestFit="1" customWidth="1"/>
    <col min="9" max="9" width="10.33203125" bestFit="1" customWidth="1"/>
    <col min="10" max="10" width="9.44140625" bestFit="1" customWidth="1"/>
    <col min="11" max="11" width="10.33203125" bestFit="1" customWidth="1"/>
    <col min="12" max="13" width="9.33203125" bestFit="1" customWidth="1"/>
    <col min="14" max="14" width="9.44140625" bestFit="1" customWidth="1"/>
    <col min="15" max="15" width="9.33203125" bestFit="1" customWidth="1"/>
    <col min="16" max="16" width="10.33203125" bestFit="1" customWidth="1"/>
    <col min="17" max="22" width="9.33203125" bestFit="1" customWidth="1"/>
    <col min="23" max="23" width="10.33203125" bestFit="1" customWidth="1"/>
    <col min="24" max="27" width="9.33203125" bestFit="1" customWidth="1"/>
    <col min="28" max="28" width="10.33203125" bestFit="1" customWidth="1"/>
    <col min="29" max="34" width="9.33203125" customWidth="1"/>
    <col min="35" max="35" width="10.33203125" bestFit="1" customWidth="1"/>
    <col min="36" max="39" width="9.33203125" customWidth="1"/>
    <col min="40" max="40" width="10.33203125" bestFit="1" customWidth="1"/>
    <col min="42" max="42" width="17" customWidth="1"/>
    <col min="43" max="43" width="17.33203125" bestFit="1" customWidth="1"/>
    <col min="44" max="44" width="14" customWidth="1"/>
    <col min="45" max="45" width="11.44140625" bestFit="1" customWidth="1"/>
  </cols>
  <sheetData>
    <row r="1" spans="1:40" ht="18" x14ac:dyDescent="0.35">
      <c r="A1" s="94" t="str">
        <f>CONCATENATE("MONTHLY CASH FLOW ESTIMATE - ",'2-Data Input &amp; Assumptions'!B3)</f>
        <v>MONTHLY CASH FLOW ESTIMATE - GENERAL FUND</v>
      </c>
      <c r="B1" s="2"/>
      <c r="C1" s="2"/>
      <c r="D1" s="2"/>
      <c r="E1" s="2"/>
      <c r="F1" s="2"/>
      <c r="G1" s="2"/>
      <c r="H1" s="2"/>
      <c r="I1" s="2"/>
      <c r="J1" s="3"/>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0" ht="15.6" x14ac:dyDescent="0.3">
      <c r="A2" s="4" t="str">
        <f>CONCATENATE("FOR FISCAL YEAR ENDING-",'2-Data Input &amp; Assumptions'!B2)</f>
        <v>FOR FISCAL YEAR ENDING-JUN-2025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1:40" ht="15.6" x14ac:dyDescent="0.3">
      <c r="A3" s="55"/>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row>
    <row r="31" spans="5:16" x14ac:dyDescent="0.3">
      <c r="E31" s="5"/>
      <c r="F31" s="5"/>
      <c r="G31" s="5"/>
      <c r="H31" s="5"/>
      <c r="I31" s="5"/>
      <c r="J31" s="5"/>
      <c r="K31" s="5"/>
      <c r="L31" s="5"/>
      <c r="M31" s="5"/>
      <c r="N31" s="5"/>
      <c r="O31" s="5"/>
      <c r="P31" s="5"/>
    </row>
    <row r="37" spans="2:43" x14ac:dyDescent="0.3">
      <c r="AQ37" s="5"/>
    </row>
    <row r="40" spans="2:43" x14ac:dyDescent="0.3">
      <c r="B40" s="85"/>
      <c r="C40" s="85"/>
      <c r="D40" s="85"/>
      <c r="E40" s="86" t="str">
        <f>E46</f>
        <v>JUL-2024</v>
      </c>
      <c r="F40" s="86" t="str">
        <f t="shared" ref="F40:AN40" si="0">F46</f>
        <v>AUG-2024</v>
      </c>
      <c r="G40" s="86" t="str">
        <f t="shared" si="0"/>
        <v>SEP-2024</v>
      </c>
      <c r="H40" s="86" t="str">
        <f t="shared" si="0"/>
        <v>OCT-2024</v>
      </c>
      <c r="I40" s="86" t="str">
        <f t="shared" si="0"/>
        <v>NOV-2024</v>
      </c>
      <c r="J40" s="86" t="str">
        <f t="shared" si="0"/>
        <v>DEC-2024</v>
      </c>
      <c r="K40" s="86" t="str">
        <f t="shared" si="0"/>
        <v>JAN-2025</v>
      </c>
      <c r="L40" s="86" t="str">
        <f t="shared" si="0"/>
        <v>FEB-2025</v>
      </c>
      <c r="M40" s="86" t="str">
        <f t="shared" si="0"/>
        <v>MAR-2025</v>
      </c>
      <c r="N40" s="86" t="str">
        <f t="shared" si="0"/>
        <v>APR-2025</v>
      </c>
      <c r="O40" s="86" t="str">
        <f t="shared" si="0"/>
        <v>MAY-2025</v>
      </c>
      <c r="P40" s="87" t="str">
        <f t="shared" si="0"/>
        <v>JUN-2025</v>
      </c>
      <c r="Q40" s="86" t="str">
        <f t="shared" si="0"/>
        <v>JUL-2025</v>
      </c>
      <c r="R40" s="86" t="str">
        <f t="shared" si="0"/>
        <v>AUG-2025</v>
      </c>
      <c r="S40" s="86" t="str">
        <f t="shared" si="0"/>
        <v>SEP-2025</v>
      </c>
      <c r="T40" s="86" t="str">
        <f t="shared" si="0"/>
        <v>OCT-2025</v>
      </c>
      <c r="U40" s="86" t="str">
        <f t="shared" si="0"/>
        <v>NOV-2025</v>
      </c>
      <c r="V40" s="86" t="str">
        <f t="shared" si="0"/>
        <v>DEC-2025</v>
      </c>
      <c r="W40" s="86" t="str">
        <f t="shared" si="0"/>
        <v>JAN-2026</v>
      </c>
      <c r="X40" s="86" t="str">
        <f t="shared" si="0"/>
        <v>FEB-2026</v>
      </c>
      <c r="Y40" s="86" t="str">
        <f t="shared" si="0"/>
        <v>MAR-2026</v>
      </c>
      <c r="Z40" s="86" t="str">
        <f t="shared" si="0"/>
        <v>APR-2026</v>
      </c>
      <c r="AA40" s="86" t="str">
        <f t="shared" si="0"/>
        <v>MAY-2026</v>
      </c>
      <c r="AB40" s="87" t="str">
        <f t="shared" si="0"/>
        <v>JUN-2026</v>
      </c>
      <c r="AC40" s="86" t="str">
        <f t="shared" si="0"/>
        <v>JUL-2026</v>
      </c>
      <c r="AD40" s="86" t="str">
        <f t="shared" si="0"/>
        <v>AUG-2026</v>
      </c>
      <c r="AE40" s="86" t="str">
        <f t="shared" si="0"/>
        <v>SEP-2026</v>
      </c>
      <c r="AF40" s="86" t="str">
        <f t="shared" si="0"/>
        <v>OCT-2026</v>
      </c>
      <c r="AG40" s="86" t="str">
        <f t="shared" si="0"/>
        <v>NOV-2026</v>
      </c>
      <c r="AH40" s="86" t="str">
        <f t="shared" si="0"/>
        <v>DEC-2026</v>
      </c>
      <c r="AI40" s="86" t="str">
        <f t="shared" si="0"/>
        <v>JAN-2027</v>
      </c>
      <c r="AJ40" s="86" t="str">
        <f t="shared" si="0"/>
        <v>FEB-2027</v>
      </c>
      <c r="AK40" s="86" t="str">
        <f t="shared" si="0"/>
        <v>MAR-2027</v>
      </c>
      <c r="AL40" s="86" t="str">
        <f t="shared" si="0"/>
        <v>APR-2027</v>
      </c>
      <c r="AM40" s="86" t="str">
        <f t="shared" si="0"/>
        <v>MAY-2027</v>
      </c>
      <c r="AN40" s="86" t="str">
        <f t="shared" si="0"/>
        <v>JUN-2027</v>
      </c>
    </row>
    <row r="41" spans="2:43" x14ac:dyDescent="0.3">
      <c r="D41" s="15" t="s">
        <v>107</v>
      </c>
      <c r="E41" s="5">
        <f>E64-E82</f>
        <v>8941.8599999999933</v>
      </c>
      <c r="F41" s="5">
        <f t="shared" ref="F41:AN41" si="1">F64-F82</f>
        <v>-25024.366000000002</v>
      </c>
      <c r="G41" s="5">
        <f t="shared" si="1"/>
        <v>-21317.140999999996</v>
      </c>
      <c r="H41" s="5">
        <f t="shared" si="1"/>
        <v>104972.81700000002</v>
      </c>
      <c r="I41" s="5">
        <f t="shared" si="1"/>
        <v>99205.518000000011</v>
      </c>
      <c r="J41" s="5">
        <f t="shared" si="1"/>
        <v>-47218.812000000005</v>
      </c>
      <c r="K41" s="5">
        <f t="shared" si="1"/>
        <v>-109138.91099999999</v>
      </c>
      <c r="L41" s="5">
        <f t="shared" si="1"/>
        <v>-6038.7449999999953</v>
      </c>
      <c r="M41" s="5">
        <f t="shared" si="1"/>
        <v>32545.257999999994</v>
      </c>
      <c r="N41" s="5">
        <f t="shared" si="1"/>
        <v>133437.66200000001</v>
      </c>
      <c r="O41" s="5">
        <f t="shared" si="1"/>
        <v>-34307.546999999991</v>
      </c>
      <c r="P41" s="76">
        <f t="shared" si="1"/>
        <v>-101022.62100000001</v>
      </c>
      <c r="Q41" s="5">
        <f t="shared" si="1"/>
        <v>-9038.87673227903</v>
      </c>
      <c r="R41" s="5">
        <f t="shared" si="1"/>
        <v>372.16290545553056</v>
      </c>
      <c r="S41" s="5">
        <f t="shared" si="1"/>
        <v>9279.3641699510554</v>
      </c>
      <c r="T41" s="5">
        <f t="shared" si="1"/>
        <v>102663.30741351347</v>
      </c>
      <c r="U41" s="5">
        <f t="shared" si="1"/>
        <v>89762.895476847538</v>
      </c>
      <c r="V41" s="5">
        <f t="shared" si="1"/>
        <v>-64651.103799234814</v>
      </c>
      <c r="W41" s="5">
        <f t="shared" si="1"/>
        <v>-100844.97028469598</v>
      </c>
      <c r="X41" s="5">
        <f t="shared" si="1"/>
        <v>-8663.8947397740194</v>
      </c>
      <c r="Y41" s="5">
        <f t="shared" si="1"/>
        <v>25557.839978056625</v>
      </c>
      <c r="Z41" s="5">
        <f t="shared" si="1"/>
        <v>123398.96424497635</v>
      </c>
      <c r="AA41" s="5">
        <f t="shared" si="1"/>
        <v>-78140.04568654194</v>
      </c>
      <c r="AB41" s="76">
        <f t="shared" si="1"/>
        <v>-43915.067470385751</v>
      </c>
      <c r="AC41" s="5">
        <f t="shared" si="1"/>
        <v>-10159.53886713686</v>
      </c>
      <c r="AD41" s="5">
        <f t="shared" si="1"/>
        <v>-493.07308408369136</v>
      </c>
      <c r="AE41" s="5">
        <f t="shared" si="1"/>
        <v>8565.2051773931344</v>
      </c>
      <c r="AF41" s="5">
        <f t="shared" si="1"/>
        <v>105246.02709923861</v>
      </c>
      <c r="AG41" s="5">
        <f t="shared" si="1"/>
        <v>91699.804081608178</v>
      </c>
      <c r="AH41" s="5">
        <f t="shared" si="1"/>
        <v>-67662.041026824678</v>
      </c>
      <c r="AI41" s="5">
        <f t="shared" si="1"/>
        <v>-104786.87721811055</v>
      </c>
      <c r="AJ41" s="5">
        <f t="shared" si="1"/>
        <v>-9666.4775949076138</v>
      </c>
      <c r="AK41" s="5">
        <f t="shared" si="1"/>
        <v>25824.615580399397</v>
      </c>
      <c r="AL41" s="5">
        <f t="shared" si="1"/>
        <v>126544.7466545573</v>
      </c>
      <c r="AM41" s="5">
        <f t="shared" si="1"/>
        <v>-81796.933503426015</v>
      </c>
      <c r="AN41" s="5">
        <f t="shared" si="1"/>
        <v>-46222.244303618107</v>
      </c>
      <c r="AP41" s="128"/>
    </row>
    <row r="42" spans="2:43" x14ac:dyDescent="0.3">
      <c r="D42" s="15" t="s">
        <v>106</v>
      </c>
      <c r="E42" s="5">
        <f>E41</f>
        <v>8941.8599999999933</v>
      </c>
      <c r="F42" s="5">
        <f>E42+F41</f>
        <v>-16082.506000000008</v>
      </c>
      <c r="G42" s="5">
        <f t="shared" ref="G42:P42" si="2">F42+G41</f>
        <v>-37399.647000000004</v>
      </c>
      <c r="H42" s="5">
        <f t="shared" si="2"/>
        <v>67573.170000000013</v>
      </c>
      <c r="I42" s="5">
        <f t="shared" si="2"/>
        <v>166778.68800000002</v>
      </c>
      <c r="J42" s="5">
        <f t="shared" si="2"/>
        <v>119559.87600000002</v>
      </c>
      <c r="K42" s="5">
        <f t="shared" si="2"/>
        <v>10420.965000000026</v>
      </c>
      <c r="L42" s="5">
        <f t="shared" si="2"/>
        <v>4382.2200000000303</v>
      </c>
      <c r="M42" s="5">
        <f t="shared" si="2"/>
        <v>36927.478000000025</v>
      </c>
      <c r="N42" s="5">
        <f t="shared" si="2"/>
        <v>170365.14000000004</v>
      </c>
      <c r="O42" s="5">
        <f t="shared" si="2"/>
        <v>136057.59300000005</v>
      </c>
      <c r="P42" s="76">
        <f t="shared" si="2"/>
        <v>35034.972000000038</v>
      </c>
      <c r="Q42" s="5">
        <f>Q41</f>
        <v>-9038.87673227903</v>
      </c>
      <c r="R42" s="5">
        <f>Q42+R41</f>
        <v>-8666.7138268234994</v>
      </c>
      <c r="S42" s="5">
        <f t="shared" ref="S42:AB42" si="3">R42+S41</f>
        <v>612.65034312755597</v>
      </c>
      <c r="T42" s="5">
        <f t="shared" si="3"/>
        <v>103275.95775664103</v>
      </c>
      <c r="U42" s="5">
        <f t="shared" si="3"/>
        <v>193038.85323348857</v>
      </c>
      <c r="V42" s="5">
        <f t="shared" si="3"/>
        <v>128387.74943425375</v>
      </c>
      <c r="W42" s="5">
        <f t="shared" si="3"/>
        <v>27542.779149557769</v>
      </c>
      <c r="X42" s="5">
        <f t="shared" si="3"/>
        <v>18878.88440978375</v>
      </c>
      <c r="Y42" s="5">
        <f t="shared" si="3"/>
        <v>44436.724387840375</v>
      </c>
      <c r="Z42" s="5">
        <f t="shared" si="3"/>
        <v>167835.68863281672</v>
      </c>
      <c r="AA42" s="5">
        <f t="shared" si="3"/>
        <v>89695.642946274776</v>
      </c>
      <c r="AB42" s="76">
        <f t="shared" si="3"/>
        <v>45780.575475889025</v>
      </c>
      <c r="AC42" s="5">
        <f>AC41</f>
        <v>-10159.53886713686</v>
      </c>
      <c r="AD42" s="5">
        <f>AC42+AD41</f>
        <v>-10652.611951220551</v>
      </c>
      <c r="AE42" s="5">
        <f t="shared" ref="AE42:AN42" si="4">AD42+AE41</f>
        <v>-2087.4067738274171</v>
      </c>
      <c r="AF42" s="5">
        <f t="shared" si="4"/>
        <v>103158.62032541119</v>
      </c>
      <c r="AG42" s="5">
        <f t="shared" si="4"/>
        <v>194858.42440701937</v>
      </c>
      <c r="AH42" s="5">
        <f t="shared" si="4"/>
        <v>127196.38338019469</v>
      </c>
      <c r="AI42" s="5">
        <f t="shared" si="4"/>
        <v>22409.506162084144</v>
      </c>
      <c r="AJ42" s="5">
        <f t="shared" si="4"/>
        <v>12743.02856717653</v>
      </c>
      <c r="AK42" s="5">
        <f t="shared" si="4"/>
        <v>38567.644147575927</v>
      </c>
      <c r="AL42" s="5">
        <f t="shared" si="4"/>
        <v>165112.39080213322</v>
      </c>
      <c r="AM42" s="5">
        <f t="shared" si="4"/>
        <v>83315.457298707202</v>
      </c>
      <c r="AN42" s="5">
        <f t="shared" si="4"/>
        <v>37093.212995089096</v>
      </c>
    </row>
    <row r="43" spans="2:43" x14ac:dyDescent="0.3">
      <c r="D43" s="15" t="s">
        <v>108</v>
      </c>
      <c r="E43" s="5">
        <f>E41</f>
        <v>8941.8599999999933</v>
      </c>
      <c r="F43" s="5">
        <f>E43+F41</f>
        <v>-16082.506000000008</v>
      </c>
      <c r="G43" s="5">
        <f t="shared" ref="G43:AN43" si="5">F43+G41</f>
        <v>-37399.647000000004</v>
      </c>
      <c r="H43" s="5">
        <f t="shared" si="5"/>
        <v>67573.170000000013</v>
      </c>
      <c r="I43" s="5">
        <f t="shared" si="5"/>
        <v>166778.68800000002</v>
      </c>
      <c r="J43" s="5">
        <f t="shared" si="5"/>
        <v>119559.87600000002</v>
      </c>
      <c r="K43" s="5">
        <f t="shared" si="5"/>
        <v>10420.965000000026</v>
      </c>
      <c r="L43" s="5">
        <f t="shared" si="5"/>
        <v>4382.2200000000303</v>
      </c>
      <c r="M43" s="5">
        <f t="shared" si="5"/>
        <v>36927.478000000025</v>
      </c>
      <c r="N43" s="5">
        <f t="shared" si="5"/>
        <v>170365.14000000004</v>
      </c>
      <c r="O43" s="5">
        <f t="shared" si="5"/>
        <v>136057.59300000005</v>
      </c>
      <c r="P43" s="76">
        <f t="shared" si="5"/>
        <v>35034.972000000038</v>
      </c>
      <c r="Q43" s="5">
        <f t="shared" si="5"/>
        <v>25996.095267721008</v>
      </c>
      <c r="R43" s="5">
        <f t="shared" si="5"/>
        <v>26368.258173176539</v>
      </c>
      <c r="S43" s="5">
        <f t="shared" si="5"/>
        <v>35647.622343127594</v>
      </c>
      <c r="T43" s="5">
        <f t="shared" si="5"/>
        <v>138310.92975664107</v>
      </c>
      <c r="U43" s="5">
        <f t="shared" si="5"/>
        <v>228073.82523348861</v>
      </c>
      <c r="V43" s="5">
        <f t="shared" si="5"/>
        <v>163422.72143425379</v>
      </c>
      <c r="W43" s="5">
        <f t="shared" si="5"/>
        <v>62577.751149557807</v>
      </c>
      <c r="X43" s="5">
        <f t="shared" si="5"/>
        <v>53913.856409783788</v>
      </c>
      <c r="Y43" s="5">
        <f t="shared" si="5"/>
        <v>79471.696387840406</v>
      </c>
      <c r="Z43" s="5">
        <f t="shared" si="5"/>
        <v>202870.66063281675</v>
      </c>
      <c r="AA43" s="5">
        <f t="shared" si="5"/>
        <v>124730.61494627481</v>
      </c>
      <c r="AB43" s="76">
        <f t="shared" si="5"/>
        <v>80815.547475889063</v>
      </c>
      <c r="AC43" s="5">
        <f t="shared" si="5"/>
        <v>70656.008608752207</v>
      </c>
      <c r="AD43" s="5">
        <f t="shared" si="5"/>
        <v>70162.935524668515</v>
      </c>
      <c r="AE43" s="5">
        <f t="shared" si="5"/>
        <v>78728.140702061646</v>
      </c>
      <c r="AF43" s="5">
        <f t="shared" si="5"/>
        <v>183974.16780130024</v>
      </c>
      <c r="AG43" s="5">
        <f t="shared" si="5"/>
        <v>275673.97188290843</v>
      </c>
      <c r="AH43" s="5">
        <f t="shared" si="5"/>
        <v>208011.93085608375</v>
      </c>
      <c r="AI43" s="5">
        <f t="shared" si="5"/>
        <v>103225.05363797321</v>
      </c>
      <c r="AJ43" s="5">
        <f t="shared" si="5"/>
        <v>93558.576043065594</v>
      </c>
      <c r="AK43" s="5">
        <f t="shared" si="5"/>
        <v>119383.19162346498</v>
      </c>
      <c r="AL43" s="5">
        <f t="shared" si="5"/>
        <v>245927.93827802228</v>
      </c>
      <c r="AM43" s="5">
        <f t="shared" si="5"/>
        <v>164131.00477459625</v>
      </c>
      <c r="AN43" s="5">
        <f t="shared" si="5"/>
        <v>117908.76047097814</v>
      </c>
    </row>
    <row r="44" spans="2:43" x14ac:dyDescent="0.3">
      <c r="P44" s="77"/>
      <c r="AB44" s="77"/>
    </row>
    <row r="45" spans="2:43" ht="15" thickBot="1" x14ac:dyDescent="0.35">
      <c r="B45" s="37"/>
      <c r="C45" s="37"/>
      <c r="D45" s="74" t="s">
        <v>104</v>
      </c>
      <c r="E45" s="88">
        <v>69432</v>
      </c>
      <c r="F45" s="88">
        <v>45380</v>
      </c>
      <c r="G45" s="88">
        <v>22495</v>
      </c>
      <c r="H45" s="88"/>
      <c r="I45" s="88"/>
      <c r="J45" s="88"/>
      <c r="K45" s="88"/>
      <c r="L45" s="88"/>
      <c r="M45" s="88"/>
      <c r="N45" s="89"/>
      <c r="O45" s="89"/>
      <c r="P45" s="90"/>
      <c r="Q45" s="91"/>
      <c r="R45" s="91"/>
      <c r="S45" s="91"/>
      <c r="T45" s="91"/>
      <c r="U45" s="91"/>
      <c r="V45" s="91"/>
      <c r="W45" s="91"/>
      <c r="X45" s="91"/>
      <c r="Y45" s="91"/>
      <c r="Z45" s="91"/>
      <c r="AA45" s="91"/>
      <c r="AB45" s="92"/>
      <c r="AC45" s="91"/>
      <c r="AD45" s="91"/>
      <c r="AE45" s="91"/>
      <c r="AF45" s="91"/>
      <c r="AG45" s="91"/>
      <c r="AH45" s="91"/>
      <c r="AI45" s="91"/>
      <c r="AJ45" s="91"/>
      <c r="AK45" s="91"/>
      <c r="AL45" s="91"/>
      <c r="AM45" s="91"/>
      <c r="AN45" s="93"/>
    </row>
    <row r="46" spans="2:43" ht="15" thickBot="1" x14ac:dyDescent="0.35">
      <c r="B46" s="6" t="s">
        <v>13</v>
      </c>
      <c r="C46" s="1">
        <v>60312</v>
      </c>
      <c r="E46" s="8" t="str">
        <f>'2-Data Input &amp; Assumptions'!C132</f>
        <v>JUL-2024</v>
      </c>
      <c r="F46" s="9" t="str">
        <f>'2-Data Input &amp; Assumptions'!D132</f>
        <v>AUG-2024</v>
      </c>
      <c r="G46" s="9" t="str">
        <f>'2-Data Input &amp; Assumptions'!E132</f>
        <v>SEP-2024</v>
      </c>
      <c r="H46" s="9" t="str">
        <f>'2-Data Input &amp; Assumptions'!F132</f>
        <v>OCT-2024</v>
      </c>
      <c r="I46" s="9" t="str">
        <f>'2-Data Input &amp; Assumptions'!G132</f>
        <v>NOV-2024</v>
      </c>
      <c r="J46" s="9" t="str">
        <f>'2-Data Input &amp; Assumptions'!H132</f>
        <v>DEC-2024</v>
      </c>
      <c r="K46" s="9" t="str">
        <f>'2-Data Input &amp; Assumptions'!I132</f>
        <v>JAN-2025</v>
      </c>
      <c r="L46" s="9" t="str">
        <f>'2-Data Input &amp; Assumptions'!J132</f>
        <v>FEB-2025</v>
      </c>
      <c r="M46" s="9" t="str">
        <f>'2-Data Input &amp; Assumptions'!K132</f>
        <v>MAR-2025</v>
      </c>
      <c r="N46" s="9" t="str">
        <f>'2-Data Input &amp; Assumptions'!L132</f>
        <v>APR-2025</v>
      </c>
      <c r="O46" s="9" t="str">
        <f>'2-Data Input &amp; Assumptions'!M132</f>
        <v>MAY-2025</v>
      </c>
      <c r="P46" s="78" t="str">
        <f>'2-Data Input &amp; Assumptions'!N132</f>
        <v>JUN-2025</v>
      </c>
      <c r="Q46" s="71" t="str">
        <f>CONCATENATE(LEFT(E46,4),(RIGHT(E46,4)+1))</f>
        <v>JUL-2025</v>
      </c>
      <c r="R46" s="71" t="str">
        <f t="shared" ref="R46:AA46" si="6">CONCATENATE(LEFT(F46,4),(RIGHT(F46,4)+1))</f>
        <v>AUG-2025</v>
      </c>
      <c r="S46" s="71" t="str">
        <f t="shared" si="6"/>
        <v>SEP-2025</v>
      </c>
      <c r="T46" s="71" t="str">
        <f t="shared" si="6"/>
        <v>OCT-2025</v>
      </c>
      <c r="U46" s="71" t="str">
        <f t="shared" si="6"/>
        <v>NOV-2025</v>
      </c>
      <c r="V46" s="71" t="str">
        <f t="shared" si="6"/>
        <v>DEC-2025</v>
      </c>
      <c r="W46" s="71" t="str">
        <f t="shared" si="6"/>
        <v>JAN-2026</v>
      </c>
      <c r="X46" s="71" t="str">
        <f t="shared" si="6"/>
        <v>FEB-2026</v>
      </c>
      <c r="Y46" s="71" t="str">
        <f t="shared" si="6"/>
        <v>MAR-2026</v>
      </c>
      <c r="Z46" s="71" t="str">
        <f t="shared" si="6"/>
        <v>APR-2026</v>
      </c>
      <c r="AA46" s="71" t="str">
        <f t="shared" si="6"/>
        <v>MAY-2026</v>
      </c>
      <c r="AB46" s="127" t="str">
        <f t="shared" ref="AB46" si="7">CONCATENATE(LEFT(P46,4),(RIGHT(P46,4)+1))</f>
        <v>JUN-2026</v>
      </c>
      <c r="AC46" s="71" t="str">
        <f t="shared" ref="AC46" si="8">CONCATENATE(LEFT(Q46,4),(RIGHT(Q46,4)+1))</f>
        <v>JUL-2026</v>
      </c>
      <c r="AD46" s="71" t="str">
        <f t="shared" ref="AD46" si="9">CONCATENATE(LEFT(R46,4),(RIGHT(R46,4)+1))</f>
        <v>AUG-2026</v>
      </c>
      <c r="AE46" s="71" t="str">
        <f t="shared" ref="AE46" si="10">CONCATENATE(LEFT(S46,4),(RIGHT(S46,4)+1))</f>
        <v>SEP-2026</v>
      </c>
      <c r="AF46" s="71" t="str">
        <f t="shared" ref="AF46" si="11">CONCATENATE(LEFT(T46,4),(RIGHT(T46,4)+1))</f>
        <v>OCT-2026</v>
      </c>
      <c r="AG46" s="71" t="str">
        <f t="shared" ref="AG46" si="12">CONCATENATE(LEFT(U46,4),(RIGHT(U46,4)+1))</f>
        <v>NOV-2026</v>
      </c>
      <c r="AH46" s="71" t="str">
        <f t="shared" ref="AH46" si="13">CONCATENATE(LEFT(V46,4),(RIGHT(V46,4)+1))</f>
        <v>DEC-2026</v>
      </c>
      <c r="AI46" s="71" t="str">
        <f t="shared" ref="AI46" si="14">CONCATENATE(LEFT(W46,4),(RIGHT(W46,4)+1))</f>
        <v>JAN-2027</v>
      </c>
      <c r="AJ46" s="71" t="str">
        <f t="shared" ref="AJ46" si="15">CONCATENATE(LEFT(X46,4),(RIGHT(X46,4)+1))</f>
        <v>FEB-2027</v>
      </c>
      <c r="AK46" s="71" t="str">
        <f t="shared" ref="AK46" si="16">CONCATENATE(LEFT(Y46,4),(RIGHT(Y46,4)+1))</f>
        <v>MAR-2027</v>
      </c>
      <c r="AL46" s="71" t="str">
        <f t="shared" ref="AL46" si="17">CONCATENATE(LEFT(Z46,4),(RIGHT(Z46,4)+1))</f>
        <v>APR-2027</v>
      </c>
      <c r="AM46" s="71" t="str">
        <f t="shared" ref="AM46" si="18">CONCATENATE(LEFT(AA46,4),(RIGHT(AA46,4)+1))</f>
        <v>MAY-2027</v>
      </c>
      <c r="AN46" s="71" t="str">
        <f t="shared" ref="AN46" si="19">CONCATENATE(LEFT(AB46,4),(RIGHT(AB46,4)+1))</f>
        <v>JUN-2027</v>
      </c>
    </row>
    <row r="47" spans="2:43" x14ac:dyDescent="0.3">
      <c r="B47" s="10"/>
      <c r="C47" s="11"/>
      <c r="D47" s="12" t="str">
        <f>'2-Data Input &amp; Assumptions'!A9</f>
        <v>PROPERTY TAX</v>
      </c>
      <c r="E47" s="13">
        <f>'2-Data Input &amp; Assumptions'!C134/1000</f>
        <v>2548.0639999999999</v>
      </c>
      <c r="F47" s="13">
        <f>'2-Data Input &amp; Assumptions'!D134/1000</f>
        <v>1966.335</v>
      </c>
      <c r="G47" s="13">
        <f>'2-Data Input &amp; Assumptions'!E134/1000</f>
        <v>4604.9629999999997</v>
      </c>
      <c r="H47" s="13">
        <f>'2-Data Input &amp; Assumptions'!F134/1000</f>
        <v>121001.1</v>
      </c>
      <c r="I47" s="13">
        <f>'2-Data Input &amp; Assumptions'!G134/1000</f>
        <v>157497.5</v>
      </c>
      <c r="J47" s="13">
        <f>'2-Data Input &amp; Assumptions'!H134/1000</f>
        <v>5859.4</v>
      </c>
      <c r="K47" s="13">
        <f>'2-Data Input &amp; Assumptions'!I134/1000</f>
        <v>4087.9</v>
      </c>
      <c r="L47" s="13">
        <f>'2-Data Input &amp; Assumptions'!J134/1000</f>
        <v>5811.4</v>
      </c>
      <c r="M47" s="13">
        <f>'2-Data Input &amp; Assumptions'!K134/1000</f>
        <v>47877</v>
      </c>
      <c r="N47" s="13">
        <f>'2-Data Input &amp; Assumptions'!L134/1000</f>
        <v>197170.6</v>
      </c>
      <c r="O47" s="13">
        <f>'2-Data Input &amp; Assumptions'!M134/1000</f>
        <v>4896.5</v>
      </c>
      <c r="P47" s="79">
        <f>'2-Data Input &amp; Assumptions'!N134/1000</f>
        <v>4892.3999999999996</v>
      </c>
      <c r="Q47" s="16">
        <f>'2-Data Input &amp; Assumptions'!C177/1000</f>
        <v>3736.9965840561035</v>
      </c>
      <c r="R47" s="16">
        <f>'2-Data Input &amp; Assumptions'!D177/1000</f>
        <v>1967.4940796100977</v>
      </c>
      <c r="S47" s="16">
        <f>'2-Data Input &amp; Assumptions'!E177/1000</f>
        <v>8716.2734906834939</v>
      </c>
      <c r="T47" s="16">
        <f>'2-Data Input &amp; Assumptions'!F177/1000</f>
        <v>121025.50012074737</v>
      </c>
      <c r="U47" s="16">
        <f>'2-Data Input &amp; Assumptions'!G177/1000</f>
        <v>152310.22347702205</v>
      </c>
      <c r="V47" s="16">
        <f>'2-Data Input &amp; Assumptions'!H177/1000</f>
        <v>5758.1621952686683</v>
      </c>
      <c r="W47" s="16">
        <f>'2-Data Input &amp; Assumptions'!I177/1000</f>
        <v>4226.3933894069278</v>
      </c>
      <c r="X47" s="16">
        <f>'2-Data Input &amp; Assumptions'!J177/1000</f>
        <v>5523.1894501371844</v>
      </c>
      <c r="Y47" s="16">
        <f>'2-Data Input &amp; Assumptions'!K177/1000</f>
        <v>46558.764574297405</v>
      </c>
      <c r="Z47" s="16">
        <f>'2-Data Input &amp; Assumptions'!L177/1000</f>
        <v>193518.33567282351</v>
      </c>
      <c r="AA47" s="16">
        <f>'2-Data Input &amp; Assumptions'!M177/1000</f>
        <v>6043.6537899491796</v>
      </c>
      <c r="AB47" s="80">
        <f>'2-Data Input &amp; Assumptions'!N177/1000</f>
        <v>4534.0071759979764</v>
      </c>
      <c r="AC47" s="16">
        <f>Q47*(1+'2-Data Input &amp; Assumptions'!$G219)</f>
        <v>3849.1064815777868</v>
      </c>
      <c r="AD47" s="16">
        <f>R47*(1+'2-Data Input &amp; Assumptions'!$G219)</f>
        <v>2026.5189019984007</v>
      </c>
      <c r="AE47" s="16">
        <f>S47*(1+'2-Data Input &amp; Assumptions'!$G219)</f>
        <v>8977.7616954039986</v>
      </c>
      <c r="AF47" s="16">
        <f>T47*(1+'2-Data Input &amp; Assumptions'!$G219)</f>
        <v>124656.26512436979</v>
      </c>
      <c r="AG47" s="16">
        <f>U47*(1+'2-Data Input &amp; Assumptions'!$G219)</f>
        <v>156879.53018133272</v>
      </c>
      <c r="AH47" s="16">
        <f>V47*(1+'2-Data Input &amp; Assumptions'!$G219)</f>
        <v>5930.9070611267289</v>
      </c>
      <c r="AI47" s="16">
        <f>W47*(1+'2-Data Input &amp; Assumptions'!$G219)</f>
        <v>4353.1851910891355</v>
      </c>
      <c r="AJ47" s="16">
        <f>X47*(1+'2-Data Input &amp; Assumptions'!$G219)</f>
        <v>5688.8851336412999</v>
      </c>
      <c r="AK47" s="16">
        <f>Y47*(1+'2-Data Input &amp; Assumptions'!$G219)</f>
        <v>47955.527511526328</v>
      </c>
      <c r="AL47" s="16">
        <f>Z47*(1+'2-Data Input &amp; Assumptions'!$G219)</f>
        <v>199323.88574300823</v>
      </c>
      <c r="AM47" s="16">
        <f>AA47*(1+'2-Data Input &amp; Assumptions'!$G219)</f>
        <v>6224.9634036476555</v>
      </c>
      <c r="AN47" s="16">
        <f>AB47*(1+'2-Data Input &amp; Assumptions'!$G219)</f>
        <v>4670.0273912779157</v>
      </c>
    </row>
    <row r="48" spans="2:43" x14ac:dyDescent="0.3">
      <c r="B48" s="14"/>
      <c r="D48" s="15" t="str">
        <f>'2-Data Input &amp; Assumptions'!A10</f>
        <v>SALES &amp; USE TAX</v>
      </c>
      <c r="E48" s="16">
        <f>'2-Data Input &amp; Assumptions'!C135/1000</f>
        <v>0</v>
      </c>
      <c r="F48" s="16">
        <f>'2-Data Input &amp; Assumptions'!D135/1000</f>
        <v>0</v>
      </c>
      <c r="G48" s="16">
        <f>'2-Data Input &amp; Assumptions'!E135/1000</f>
        <v>0</v>
      </c>
      <c r="H48" s="16">
        <f>'2-Data Input &amp; Assumptions'!F135/1000</f>
        <v>0</v>
      </c>
      <c r="I48" s="16">
        <f>'2-Data Input &amp; Assumptions'!G135/1000</f>
        <v>0</v>
      </c>
      <c r="J48" s="16">
        <f>'2-Data Input &amp; Assumptions'!H135/1000</f>
        <v>0</v>
      </c>
      <c r="K48" s="16">
        <f>'2-Data Input &amp; Assumptions'!I135/1000</f>
        <v>0</v>
      </c>
      <c r="L48" s="16">
        <f>'2-Data Input &amp; Assumptions'!J135/1000</f>
        <v>0</v>
      </c>
      <c r="M48" s="16">
        <f>'2-Data Input &amp; Assumptions'!K135/1000</f>
        <v>0</v>
      </c>
      <c r="N48" s="16">
        <f>'2-Data Input &amp; Assumptions'!L135/1000</f>
        <v>0</v>
      </c>
      <c r="O48" s="16">
        <f>'2-Data Input &amp; Assumptions'!M135/1000</f>
        <v>0</v>
      </c>
      <c r="P48" s="80">
        <f>'2-Data Input &amp; Assumptions'!N135/1000</f>
        <v>0</v>
      </c>
      <c r="Q48" s="16">
        <f>'2-Data Input &amp; Assumptions'!C178/1000</f>
        <v>0</v>
      </c>
      <c r="R48" s="16">
        <f>'2-Data Input &amp; Assumptions'!D178/1000</f>
        <v>0</v>
      </c>
      <c r="S48" s="16">
        <f>'2-Data Input &amp; Assumptions'!E178/1000</f>
        <v>0</v>
      </c>
      <c r="T48" s="16">
        <f>'2-Data Input &amp; Assumptions'!F178/1000</f>
        <v>0</v>
      </c>
      <c r="U48" s="16">
        <f>'2-Data Input &amp; Assumptions'!G178/1000</f>
        <v>0</v>
      </c>
      <c r="V48" s="16">
        <f>'2-Data Input &amp; Assumptions'!H178/1000</f>
        <v>0</v>
      </c>
      <c r="W48" s="16">
        <f>'2-Data Input &amp; Assumptions'!I178/1000</f>
        <v>0</v>
      </c>
      <c r="X48" s="16">
        <f>'2-Data Input &amp; Assumptions'!J178/1000</f>
        <v>0</v>
      </c>
      <c r="Y48" s="16">
        <f>'2-Data Input &amp; Assumptions'!K178/1000</f>
        <v>0</v>
      </c>
      <c r="Z48" s="16">
        <f>'2-Data Input &amp; Assumptions'!L178/1000</f>
        <v>0</v>
      </c>
      <c r="AA48" s="16">
        <f>'2-Data Input &amp; Assumptions'!M178/1000</f>
        <v>0</v>
      </c>
      <c r="AB48" s="80">
        <f>'2-Data Input &amp; Assumptions'!N178/1000</f>
        <v>0</v>
      </c>
      <c r="AC48" s="16">
        <f>Q48*(1+'2-Data Input &amp; Assumptions'!$G220)</f>
        <v>0</v>
      </c>
      <c r="AD48" s="16">
        <f>R48*(1+'2-Data Input &amp; Assumptions'!$G220)</f>
        <v>0</v>
      </c>
      <c r="AE48" s="16">
        <f>S48*(1+'2-Data Input &amp; Assumptions'!$G220)</f>
        <v>0</v>
      </c>
      <c r="AF48" s="16">
        <f>T48*(1+'2-Data Input &amp; Assumptions'!$G220)</f>
        <v>0</v>
      </c>
      <c r="AG48" s="16">
        <f>U48*(1+'2-Data Input &amp; Assumptions'!$G220)</f>
        <v>0</v>
      </c>
      <c r="AH48" s="16">
        <f>V48*(1+'2-Data Input &amp; Assumptions'!$G220)</f>
        <v>0</v>
      </c>
      <c r="AI48" s="16">
        <f>W48*(1+'2-Data Input &amp; Assumptions'!$G220)</f>
        <v>0</v>
      </c>
      <c r="AJ48" s="16">
        <f>X48*(1+'2-Data Input &amp; Assumptions'!$G220)</f>
        <v>0</v>
      </c>
      <c r="AK48" s="16">
        <f>Y48*(1+'2-Data Input &amp; Assumptions'!$G220)</f>
        <v>0</v>
      </c>
      <c r="AL48" s="16">
        <f>Z48*(1+'2-Data Input &amp; Assumptions'!$G220)</f>
        <v>0</v>
      </c>
      <c r="AM48" s="16">
        <f>AA48*(1+'2-Data Input &amp; Assumptions'!$G220)</f>
        <v>0</v>
      </c>
      <c r="AN48" s="16">
        <f>AB48*(1+'2-Data Input &amp; Assumptions'!$G220)</f>
        <v>0</v>
      </c>
    </row>
    <row r="49" spans="2:45" x14ac:dyDescent="0.3">
      <c r="B49" s="14"/>
      <c r="D49" s="15" t="str">
        <f>'2-Data Input &amp; Assumptions'!A11</f>
        <v>FEES &amp; PERMITS</v>
      </c>
      <c r="E49" s="16">
        <f>'2-Data Input &amp; Assumptions'!C136/1000</f>
        <v>0</v>
      </c>
      <c r="F49" s="16">
        <f>'2-Data Input &amp; Assumptions'!D136/1000</f>
        <v>0</v>
      </c>
      <c r="G49" s="16">
        <f>'2-Data Input &amp; Assumptions'!E136/1000</f>
        <v>0</v>
      </c>
      <c r="H49" s="16">
        <f>'2-Data Input &amp; Assumptions'!F136/1000</f>
        <v>0</v>
      </c>
      <c r="I49" s="16">
        <f>'2-Data Input &amp; Assumptions'!G136/1000</f>
        <v>0</v>
      </c>
      <c r="J49" s="16">
        <f>'2-Data Input &amp; Assumptions'!H136/1000</f>
        <v>0</v>
      </c>
      <c r="K49" s="16">
        <f>'2-Data Input &amp; Assumptions'!I136/1000</f>
        <v>0</v>
      </c>
      <c r="L49" s="16">
        <f>'2-Data Input &amp; Assumptions'!J136/1000</f>
        <v>0</v>
      </c>
      <c r="M49" s="16">
        <f>'2-Data Input &amp; Assumptions'!K136/1000</f>
        <v>0</v>
      </c>
      <c r="N49" s="16">
        <f>'2-Data Input &amp; Assumptions'!L136/1000</f>
        <v>0</v>
      </c>
      <c r="O49" s="16">
        <f>'2-Data Input &amp; Assumptions'!M136/1000</f>
        <v>0</v>
      </c>
      <c r="P49" s="80">
        <f>'2-Data Input &amp; Assumptions'!N136/1000</f>
        <v>0</v>
      </c>
      <c r="Q49" s="16">
        <f>'2-Data Input &amp; Assumptions'!C179/1000</f>
        <v>0</v>
      </c>
      <c r="R49" s="16">
        <f>'2-Data Input &amp; Assumptions'!D179/1000</f>
        <v>0</v>
      </c>
      <c r="S49" s="16">
        <f>'2-Data Input &amp; Assumptions'!E179/1000</f>
        <v>0</v>
      </c>
      <c r="T49" s="16">
        <f>'2-Data Input &amp; Assumptions'!F179/1000</f>
        <v>0</v>
      </c>
      <c r="U49" s="16">
        <f>'2-Data Input &amp; Assumptions'!G179/1000</f>
        <v>0</v>
      </c>
      <c r="V49" s="16">
        <f>'2-Data Input &amp; Assumptions'!H179/1000</f>
        <v>0</v>
      </c>
      <c r="W49" s="16">
        <f>'2-Data Input &amp; Assumptions'!I179/1000</f>
        <v>0</v>
      </c>
      <c r="X49" s="16">
        <f>'2-Data Input &amp; Assumptions'!J179/1000</f>
        <v>0</v>
      </c>
      <c r="Y49" s="16">
        <f>'2-Data Input &amp; Assumptions'!K179/1000</f>
        <v>0</v>
      </c>
      <c r="Z49" s="16">
        <f>'2-Data Input &amp; Assumptions'!L179/1000</f>
        <v>0</v>
      </c>
      <c r="AA49" s="16">
        <f>'2-Data Input &amp; Assumptions'!M179/1000</f>
        <v>0</v>
      </c>
      <c r="AB49" s="80">
        <f>'2-Data Input &amp; Assumptions'!N179/1000</f>
        <v>0</v>
      </c>
      <c r="AC49" s="16">
        <f>Q49*(1+'2-Data Input &amp; Assumptions'!$G221)</f>
        <v>0</v>
      </c>
      <c r="AD49" s="16">
        <f>R49*(1+'2-Data Input &amp; Assumptions'!$G221)</f>
        <v>0</v>
      </c>
      <c r="AE49" s="16">
        <f>S49*(1+'2-Data Input &amp; Assumptions'!$G221)</f>
        <v>0</v>
      </c>
      <c r="AF49" s="16">
        <f>T49*(1+'2-Data Input &amp; Assumptions'!$G221)</f>
        <v>0</v>
      </c>
      <c r="AG49" s="16">
        <f>U49*(1+'2-Data Input &amp; Assumptions'!$G221)</f>
        <v>0</v>
      </c>
      <c r="AH49" s="16">
        <f>V49*(1+'2-Data Input &amp; Assumptions'!$G221)</f>
        <v>0</v>
      </c>
      <c r="AI49" s="16">
        <f>W49*(1+'2-Data Input &amp; Assumptions'!$G221)</f>
        <v>0</v>
      </c>
      <c r="AJ49" s="16">
        <f>X49*(1+'2-Data Input &amp; Assumptions'!$G221)</f>
        <v>0</v>
      </c>
      <c r="AK49" s="16">
        <f>Y49*(1+'2-Data Input &amp; Assumptions'!$G221)</f>
        <v>0</v>
      </c>
      <c r="AL49" s="16">
        <f>Z49*(1+'2-Data Input &amp; Assumptions'!$G221)</f>
        <v>0</v>
      </c>
      <c r="AM49" s="16">
        <f>AA49*(1+'2-Data Input &amp; Assumptions'!$G221)</f>
        <v>0</v>
      </c>
      <c r="AN49" s="16">
        <f>AB49*(1+'2-Data Input &amp; Assumptions'!$G221)</f>
        <v>0</v>
      </c>
    </row>
    <row r="50" spans="2:45" x14ac:dyDescent="0.3">
      <c r="B50" s="14"/>
      <c r="D50" s="15" t="str">
        <f>'2-Data Input &amp; Assumptions'!A12</f>
        <v>FISCAL DISPARITIES</v>
      </c>
      <c r="E50" s="16">
        <f>'2-Data Input &amp; Assumptions'!C137/1000</f>
        <v>0</v>
      </c>
      <c r="F50" s="16">
        <f>'2-Data Input &amp; Assumptions'!D137/1000</f>
        <v>0</v>
      </c>
      <c r="G50" s="16">
        <f>'2-Data Input &amp; Assumptions'!E137/1000</f>
        <v>0</v>
      </c>
      <c r="H50" s="16">
        <f>'2-Data Input &amp; Assumptions'!F137/1000</f>
        <v>0</v>
      </c>
      <c r="I50" s="16">
        <f>'2-Data Input &amp; Assumptions'!G137/1000</f>
        <v>0</v>
      </c>
      <c r="J50" s="16">
        <f>'2-Data Input &amp; Assumptions'!H137/1000</f>
        <v>51321.4</v>
      </c>
      <c r="K50" s="16">
        <f>'2-Data Input &amp; Assumptions'!I137/1000</f>
        <v>0</v>
      </c>
      <c r="L50" s="16">
        <f>'2-Data Input &amp; Assumptions'!J137/1000</f>
        <v>0</v>
      </c>
      <c r="M50" s="16">
        <f>'2-Data Input &amp; Assumptions'!K137/1000</f>
        <v>0</v>
      </c>
      <c r="N50" s="16">
        <f>'2-Data Input &amp; Assumptions'!L137/1000</f>
        <v>0</v>
      </c>
      <c r="O50" s="16">
        <f>'2-Data Input &amp; Assumptions'!M137/1000</f>
        <v>51321.4</v>
      </c>
      <c r="P50" s="80">
        <f>'2-Data Input &amp; Assumptions'!N137/1000</f>
        <v>0</v>
      </c>
      <c r="Q50" s="16">
        <f>'2-Data Input &amp; Assumptions'!C180/1000</f>
        <v>0</v>
      </c>
      <c r="R50" s="16">
        <f>'2-Data Input &amp; Assumptions'!D180/1000</f>
        <v>0</v>
      </c>
      <c r="S50" s="16">
        <f>'2-Data Input &amp; Assumptions'!E180/1000</f>
        <v>0</v>
      </c>
      <c r="T50" s="16">
        <f>'2-Data Input &amp; Assumptions'!F180/1000</f>
        <v>0</v>
      </c>
      <c r="U50" s="16">
        <f>'2-Data Input &amp; Assumptions'!G180/1000</f>
        <v>0</v>
      </c>
      <c r="V50" s="16">
        <f>'2-Data Input &amp; Assumptions'!H180/1000</f>
        <v>50085.130100977891</v>
      </c>
      <c r="W50" s="16">
        <f>'2-Data Input &amp; Assumptions'!I180/1000</f>
        <v>1229.1525120708354</v>
      </c>
      <c r="X50" s="16">
        <f>'2-Data Input &amp; Assumptions'!J180/1000</f>
        <v>0</v>
      </c>
      <c r="Y50" s="16">
        <f>'2-Data Input &amp; Assumptions'!K180/1000</f>
        <v>0</v>
      </c>
      <c r="Z50" s="16">
        <f>'2-Data Input &amp; Assumptions'!L180/1000</f>
        <v>0</v>
      </c>
      <c r="AA50" s="16">
        <f>'2-Data Input &amp; Assumptions'!M180/1000</f>
        <v>51314.277386951275</v>
      </c>
      <c r="AB50" s="80">
        <f>'2-Data Input &amp; Assumptions'!N180/1000</f>
        <v>0</v>
      </c>
      <c r="AC50" s="16">
        <f>Q50*(1+'2-Data Input &amp; Assumptions'!$G222)</f>
        <v>0</v>
      </c>
      <c r="AD50" s="16">
        <f>R50*(1+'2-Data Input &amp; Assumptions'!$G222)</f>
        <v>0</v>
      </c>
      <c r="AE50" s="16">
        <f>S50*(1+'2-Data Input &amp; Assumptions'!$G222)</f>
        <v>0</v>
      </c>
      <c r="AF50" s="16">
        <f>T50*(1+'2-Data Input &amp; Assumptions'!$G222)</f>
        <v>0</v>
      </c>
      <c r="AG50" s="16">
        <f>U50*(1+'2-Data Input &amp; Assumptions'!$G222)</f>
        <v>0</v>
      </c>
      <c r="AH50" s="16">
        <f>V50*(1+'2-Data Input &amp; Assumptions'!$G222)</f>
        <v>50085.130100977891</v>
      </c>
      <c r="AI50" s="16">
        <f>W50*(1+'2-Data Input &amp; Assumptions'!$G222)</f>
        <v>1229.1525120708354</v>
      </c>
      <c r="AJ50" s="16">
        <f>X50*(1+'2-Data Input &amp; Assumptions'!$G222)</f>
        <v>0</v>
      </c>
      <c r="AK50" s="16">
        <f>Y50*(1+'2-Data Input &amp; Assumptions'!$G222)</f>
        <v>0</v>
      </c>
      <c r="AL50" s="16">
        <f>Z50*(1+'2-Data Input &amp; Assumptions'!$G222)</f>
        <v>0</v>
      </c>
      <c r="AM50" s="16">
        <f>AA50*(1+'2-Data Input &amp; Assumptions'!$G222)</f>
        <v>51314.277386951275</v>
      </c>
      <c r="AN50" s="16">
        <f>AB50*(1+'2-Data Input &amp; Assumptions'!$G222)</f>
        <v>0</v>
      </c>
    </row>
    <row r="51" spans="2:45" x14ac:dyDescent="0.3">
      <c r="B51" s="14"/>
      <c r="D51" s="15" t="str">
        <f>'2-Data Input &amp; Assumptions'!A13</f>
        <v>BUSINESS LICENSE TAXES</v>
      </c>
      <c r="E51" s="16">
        <f>'2-Data Input &amp; Assumptions'!C138/1000</f>
        <v>0</v>
      </c>
      <c r="F51" s="16">
        <f>'2-Data Input &amp; Assumptions'!D138/1000</f>
        <v>0</v>
      </c>
      <c r="G51" s="16">
        <f>'2-Data Input &amp; Assumptions'!E138/1000</f>
        <v>0</v>
      </c>
      <c r="H51" s="16">
        <f>'2-Data Input &amp; Assumptions'!F138/1000</f>
        <v>0</v>
      </c>
      <c r="I51" s="16">
        <f>'2-Data Input &amp; Assumptions'!G138/1000</f>
        <v>0</v>
      </c>
      <c r="J51" s="16">
        <f>'2-Data Input &amp; Assumptions'!H138/1000</f>
        <v>0</v>
      </c>
      <c r="K51" s="16">
        <f>'2-Data Input &amp; Assumptions'!I138/1000</f>
        <v>0</v>
      </c>
      <c r="L51" s="16">
        <f>'2-Data Input &amp; Assumptions'!J138/1000</f>
        <v>0</v>
      </c>
      <c r="M51" s="16">
        <f>'2-Data Input &amp; Assumptions'!K138/1000</f>
        <v>0</v>
      </c>
      <c r="N51" s="16">
        <f>'2-Data Input &amp; Assumptions'!L138/1000</f>
        <v>0</v>
      </c>
      <c r="O51" s="16">
        <f>'2-Data Input &amp; Assumptions'!M138/1000</f>
        <v>0</v>
      </c>
      <c r="P51" s="80">
        <f>'2-Data Input &amp; Assumptions'!N138/1000</f>
        <v>0</v>
      </c>
      <c r="Q51" s="16">
        <f>'2-Data Input &amp; Assumptions'!C181/1000</f>
        <v>0</v>
      </c>
      <c r="R51" s="16">
        <f>'2-Data Input &amp; Assumptions'!D181/1000</f>
        <v>0</v>
      </c>
      <c r="S51" s="16">
        <f>'2-Data Input &amp; Assumptions'!E181/1000</f>
        <v>0</v>
      </c>
      <c r="T51" s="16">
        <f>'2-Data Input &amp; Assumptions'!F181/1000</f>
        <v>0</v>
      </c>
      <c r="U51" s="16">
        <f>'2-Data Input &amp; Assumptions'!G181/1000</f>
        <v>0</v>
      </c>
      <c r="V51" s="16">
        <f>'2-Data Input &amp; Assumptions'!H181/1000</f>
        <v>0</v>
      </c>
      <c r="W51" s="16">
        <f>'2-Data Input &amp; Assumptions'!I181/1000</f>
        <v>0</v>
      </c>
      <c r="X51" s="16">
        <f>'2-Data Input &amp; Assumptions'!J181/1000</f>
        <v>0</v>
      </c>
      <c r="Y51" s="16">
        <f>'2-Data Input &amp; Assumptions'!K181/1000</f>
        <v>0</v>
      </c>
      <c r="Z51" s="16">
        <f>'2-Data Input &amp; Assumptions'!L181/1000</f>
        <v>0</v>
      </c>
      <c r="AA51" s="16">
        <f>'2-Data Input &amp; Assumptions'!M181/1000</f>
        <v>0</v>
      </c>
      <c r="AB51" s="80">
        <f>'2-Data Input &amp; Assumptions'!N181/1000</f>
        <v>0</v>
      </c>
      <c r="AC51" s="16">
        <f>Q51*(1+'2-Data Input &amp; Assumptions'!$G223)</f>
        <v>0</v>
      </c>
      <c r="AD51" s="16">
        <f>R51*(1+'2-Data Input &amp; Assumptions'!$G223)</f>
        <v>0</v>
      </c>
      <c r="AE51" s="16">
        <f>S51*(1+'2-Data Input &amp; Assumptions'!$G223)</f>
        <v>0</v>
      </c>
      <c r="AF51" s="16">
        <f>T51*(1+'2-Data Input &amp; Assumptions'!$G223)</f>
        <v>0</v>
      </c>
      <c r="AG51" s="16">
        <f>U51*(1+'2-Data Input &amp; Assumptions'!$G223)</f>
        <v>0</v>
      </c>
      <c r="AH51" s="16">
        <f>V51*(1+'2-Data Input &amp; Assumptions'!$G223)</f>
        <v>0</v>
      </c>
      <c r="AI51" s="16">
        <f>W51*(1+'2-Data Input &amp; Assumptions'!$G223)</f>
        <v>0</v>
      </c>
      <c r="AJ51" s="16">
        <f>X51*(1+'2-Data Input &amp; Assumptions'!$G223)</f>
        <v>0</v>
      </c>
      <c r="AK51" s="16">
        <f>Y51*(1+'2-Data Input &amp; Assumptions'!$G223)</f>
        <v>0</v>
      </c>
      <c r="AL51" s="16">
        <f>Z51*(1+'2-Data Input &amp; Assumptions'!$G223)</f>
        <v>0</v>
      </c>
      <c r="AM51" s="16">
        <f>AA51*(1+'2-Data Input &amp; Assumptions'!$G223)</f>
        <v>0</v>
      </c>
      <c r="AN51" s="16">
        <f>AB51*(1+'2-Data Input &amp; Assumptions'!$G223)</f>
        <v>0</v>
      </c>
    </row>
    <row r="52" spans="2:45" x14ac:dyDescent="0.3">
      <c r="B52" s="14"/>
      <c r="D52" s="15" t="str">
        <f>'2-Data Input &amp; Assumptions'!A14</f>
        <v>INTRAGOVT SVC CHARGES</v>
      </c>
      <c r="E52" s="16">
        <f>'2-Data Input &amp; Assumptions'!C139/1000</f>
        <v>0</v>
      </c>
      <c r="F52" s="16">
        <f>'2-Data Input &amp; Assumptions'!D139/1000</f>
        <v>0</v>
      </c>
      <c r="G52" s="16">
        <f>'2-Data Input &amp; Assumptions'!E139/1000</f>
        <v>0</v>
      </c>
      <c r="H52" s="16">
        <f>'2-Data Input &amp; Assumptions'!F139/1000</f>
        <v>0</v>
      </c>
      <c r="I52" s="16">
        <f>'2-Data Input &amp; Assumptions'!G139/1000</f>
        <v>0</v>
      </c>
      <c r="J52" s="16">
        <f>'2-Data Input &amp; Assumptions'!H139/1000</f>
        <v>0</v>
      </c>
      <c r="K52" s="16">
        <f>'2-Data Input &amp; Assumptions'!I139/1000</f>
        <v>0</v>
      </c>
      <c r="L52" s="16">
        <f>'2-Data Input &amp; Assumptions'!J139/1000</f>
        <v>0</v>
      </c>
      <c r="M52" s="16">
        <f>'2-Data Input &amp; Assumptions'!K139/1000</f>
        <v>0</v>
      </c>
      <c r="N52" s="16">
        <f>'2-Data Input &amp; Assumptions'!L139/1000</f>
        <v>0</v>
      </c>
      <c r="O52" s="16">
        <f>'2-Data Input &amp; Assumptions'!M139/1000</f>
        <v>0</v>
      </c>
      <c r="P52" s="80">
        <f>'2-Data Input &amp; Assumptions'!N139/1000</f>
        <v>0</v>
      </c>
      <c r="Q52" s="16">
        <f>'2-Data Input &amp; Assumptions'!C182/1000</f>
        <v>0</v>
      </c>
      <c r="R52" s="16">
        <f>'2-Data Input &amp; Assumptions'!D182/1000</f>
        <v>0</v>
      </c>
      <c r="S52" s="16">
        <f>'2-Data Input &amp; Assumptions'!E182/1000</f>
        <v>0</v>
      </c>
      <c r="T52" s="16">
        <f>'2-Data Input &amp; Assumptions'!F182/1000</f>
        <v>0</v>
      </c>
      <c r="U52" s="16">
        <f>'2-Data Input &amp; Assumptions'!G182/1000</f>
        <v>0</v>
      </c>
      <c r="V52" s="16">
        <f>'2-Data Input &amp; Assumptions'!H182/1000</f>
        <v>0</v>
      </c>
      <c r="W52" s="16">
        <f>'2-Data Input &amp; Assumptions'!I182/1000</f>
        <v>0</v>
      </c>
      <c r="X52" s="16">
        <f>'2-Data Input &amp; Assumptions'!J182/1000</f>
        <v>0</v>
      </c>
      <c r="Y52" s="16">
        <f>'2-Data Input &amp; Assumptions'!K182/1000</f>
        <v>0</v>
      </c>
      <c r="Z52" s="16">
        <f>'2-Data Input &amp; Assumptions'!L182/1000</f>
        <v>0</v>
      </c>
      <c r="AA52" s="16">
        <f>'2-Data Input &amp; Assumptions'!M182/1000</f>
        <v>0</v>
      </c>
      <c r="AB52" s="80">
        <f>'2-Data Input &amp; Assumptions'!N182/1000</f>
        <v>0</v>
      </c>
      <c r="AC52" s="16">
        <f>Q52*(1+'2-Data Input &amp; Assumptions'!$G224)</f>
        <v>0</v>
      </c>
      <c r="AD52" s="16">
        <f>R52*(1+'2-Data Input &amp; Assumptions'!$G224)</f>
        <v>0</v>
      </c>
      <c r="AE52" s="16">
        <f>S52*(1+'2-Data Input &amp; Assumptions'!$G224)</f>
        <v>0</v>
      </c>
      <c r="AF52" s="16">
        <f>T52*(1+'2-Data Input &amp; Assumptions'!$G224)</f>
        <v>0</v>
      </c>
      <c r="AG52" s="16">
        <f>U52*(1+'2-Data Input &amp; Assumptions'!$G224)</f>
        <v>0</v>
      </c>
      <c r="AH52" s="16">
        <f>V52*(1+'2-Data Input &amp; Assumptions'!$G224)</f>
        <v>0</v>
      </c>
      <c r="AI52" s="16">
        <f>W52*(1+'2-Data Input &amp; Assumptions'!$G224)</f>
        <v>0</v>
      </c>
      <c r="AJ52" s="16">
        <f>X52*(1+'2-Data Input &amp; Assumptions'!$G224)</f>
        <v>0</v>
      </c>
      <c r="AK52" s="16">
        <f>Y52*(1+'2-Data Input &amp; Assumptions'!$G224)</f>
        <v>0</v>
      </c>
      <c r="AL52" s="16">
        <f>Z52*(1+'2-Data Input &amp; Assumptions'!$G224)</f>
        <v>0</v>
      </c>
      <c r="AM52" s="16">
        <f>AA52*(1+'2-Data Input &amp; Assumptions'!$G224)</f>
        <v>0</v>
      </c>
      <c r="AN52" s="16">
        <f>AB52*(1+'2-Data Input &amp; Assumptions'!$G224)</f>
        <v>0</v>
      </c>
    </row>
    <row r="53" spans="2:45" x14ac:dyDescent="0.3">
      <c r="B53" s="14"/>
      <c r="D53" s="15" t="str">
        <f>'2-Data Input &amp; Assumptions'!A15</f>
        <v>INTERGOVT REVENUES</v>
      </c>
      <c r="E53" s="16">
        <f>'2-Data Input &amp; Assumptions'!C140/1000</f>
        <v>13130.656999999999</v>
      </c>
      <c r="F53" s="16">
        <f>'2-Data Input &amp; Assumptions'!D140/1000</f>
        <v>28198.346000000001</v>
      </c>
      <c r="G53" s="16">
        <f>'2-Data Input &amp; Assumptions'!E140/1000</f>
        <v>15790.165000000001</v>
      </c>
      <c r="H53" s="16">
        <f>'2-Data Input &amp; Assumptions'!F140/1000</f>
        <v>12725.7</v>
      </c>
      <c r="I53" s="16">
        <f>'2-Data Input &amp; Assumptions'!G140/1000</f>
        <v>21468.799999999999</v>
      </c>
      <c r="J53" s="16">
        <f>'2-Data Input &amp; Assumptions'!H140/1000</f>
        <v>27988.799999999999</v>
      </c>
      <c r="K53" s="16">
        <f>'2-Data Input &amp; Assumptions'!I140/1000</f>
        <v>28073.9</v>
      </c>
      <c r="L53" s="16">
        <f>'2-Data Input &amp; Assumptions'!J140/1000</f>
        <v>23292.799999999999</v>
      </c>
      <c r="M53" s="16">
        <f>'2-Data Input &amp; Assumptions'!K140/1000</f>
        <v>15632</v>
      </c>
      <c r="N53" s="16">
        <f>'2-Data Input &amp; Assumptions'!L140/1000</f>
        <v>15078.9</v>
      </c>
      <c r="O53" s="16">
        <f>'2-Data Input &amp; Assumptions'!M140/1000</f>
        <v>18643.599999999999</v>
      </c>
      <c r="P53" s="80">
        <f>'2-Data Input &amp; Assumptions'!N140/1000</f>
        <v>22359.5</v>
      </c>
      <c r="Q53" s="16">
        <f>'2-Data Input &amp; Assumptions'!C183/1000</f>
        <v>16202.519992253861</v>
      </c>
      <c r="R53" s="16">
        <f>'2-Data Input &amp; Assumptions'!D183/1000</f>
        <v>26544.892609666756</v>
      </c>
      <c r="S53" s="16">
        <f>'2-Data Input &amp; Assumptions'!E183/1000</f>
        <v>18824.444354062627</v>
      </c>
      <c r="T53" s="16">
        <f>'2-Data Input &amp; Assumptions'!F183/1000</f>
        <v>15022.129419332261</v>
      </c>
      <c r="U53" s="16">
        <f>'2-Data Input &amp; Assumptions'!G183/1000</f>
        <v>23639.416756006878</v>
      </c>
      <c r="V53" s="16">
        <f>'2-Data Input &amp; Assumptions'!H183/1000</f>
        <v>20721.129159123841</v>
      </c>
      <c r="W53" s="16">
        <f>'2-Data Input &amp; Assumptions'!I183/1000</f>
        <v>30707.811937208819</v>
      </c>
      <c r="X53" s="16">
        <f>'2-Data Input &amp; Assumptions'!J183/1000</f>
        <v>23015.768756740636</v>
      </c>
      <c r="Y53" s="16">
        <f>'2-Data Input &amp; Assumptions'!K183/1000</f>
        <v>14730.889537784602</v>
      </c>
      <c r="Z53" s="16">
        <f>'2-Data Input &amp; Assumptions'!L183/1000</f>
        <v>15714.115501929127</v>
      </c>
      <c r="AA53" s="16">
        <f>'2-Data Input &amp; Assumptions'!M183/1000</f>
        <v>21359.791638698935</v>
      </c>
      <c r="AB53" s="80">
        <f>'2-Data Input &amp; Assumptions'!N183/1000</f>
        <v>22100.290137191652</v>
      </c>
      <c r="AC53" s="16">
        <f>Q53*(1+'2-Data Input &amp; Assumptions'!$G225)</f>
        <v>16364.5451921764</v>
      </c>
      <c r="AD53" s="16">
        <f>R53*(1+'2-Data Input &amp; Assumptions'!$G225)</f>
        <v>26810.341535763426</v>
      </c>
      <c r="AE53" s="16">
        <f>S53*(1+'2-Data Input &amp; Assumptions'!$G225)</f>
        <v>19012.688797603252</v>
      </c>
      <c r="AF53" s="16">
        <f>T53*(1+'2-Data Input &amp; Assumptions'!$G225)</f>
        <v>15172.350713525584</v>
      </c>
      <c r="AG53" s="16">
        <f>U53*(1+'2-Data Input &amp; Assumptions'!$G225)</f>
        <v>23875.810923566947</v>
      </c>
      <c r="AH53" s="16">
        <f>V53*(1+'2-Data Input &amp; Assumptions'!$G225)</f>
        <v>20928.340450715081</v>
      </c>
      <c r="AI53" s="16">
        <f>W53*(1+'2-Data Input &amp; Assumptions'!$G225)</f>
        <v>31014.890056580905</v>
      </c>
      <c r="AJ53" s="16">
        <f>X53*(1+'2-Data Input &amp; Assumptions'!$G225)</f>
        <v>23245.926444308043</v>
      </c>
      <c r="AK53" s="16">
        <f>Y53*(1+'2-Data Input &amp; Assumptions'!$G225)</f>
        <v>14878.198433162448</v>
      </c>
      <c r="AL53" s="16">
        <f>Z53*(1+'2-Data Input &amp; Assumptions'!$G225)</f>
        <v>15871.256656948419</v>
      </c>
      <c r="AM53" s="16">
        <f>AA53*(1+'2-Data Input &amp; Assumptions'!$G225)</f>
        <v>21573.389555085923</v>
      </c>
      <c r="AN53" s="16">
        <f>AB53*(1+'2-Data Input &amp; Assumptions'!$G225)</f>
        <v>22321.29303856357</v>
      </c>
    </row>
    <row r="54" spans="2:45" x14ac:dyDescent="0.3">
      <c r="B54" s="14"/>
      <c r="D54" s="15" t="str">
        <f>'2-Data Input &amp; Assumptions'!A16</f>
        <v>REIMBURSEMENTS</v>
      </c>
      <c r="E54" s="16">
        <f>'2-Data Input &amp; Assumptions'!C141/1000</f>
        <v>0</v>
      </c>
      <c r="F54" s="16">
        <f>'2-Data Input &amp; Assumptions'!D141/1000</f>
        <v>0</v>
      </c>
      <c r="G54" s="16">
        <f>'2-Data Input &amp; Assumptions'!E141/1000</f>
        <v>0</v>
      </c>
      <c r="H54" s="16">
        <f>'2-Data Input &amp; Assumptions'!F141/1000</f>
        <v>0</v>
      </c>
      <c r="I54" s="16">
        <f>'2-Data Input &amp; Assumptions'!G141/1000</f>
        <v>0</v>
      </c>
      <c r="J54" s="16">
        <f>'2-Data Input &amp; Assumptions'!H141/1000</f>
        <v>0</v>
      </c>
      <c r="K54" s="16">
        <f>'2-Data Input &amp; Assumptions'!I141/1000</f>
        <v>0</v>
      </c>
      <c r="L54" s="16">
        <f>'2-Data Input &amp; Assumptions'!J141/1000</f>
        <v>0</v>
      </c>
      <c r="M54" s="16">
        <f>'2-Data Input &amp; Assumptions'!K141/1000</f>
        <v>0</v>
      </c>
      <c r="N54" s="16">
        <f>'2-Data Input &amp; Assumptions'!L141/1000</f>
        <v>0</v>
      </c>
      <c r="O54" s="16">
        <f>'2-Data Input &amp; Assumptions'!M141/1000</f>
        <v>0</v>
      </c>
      <c r="P54" s="80">
        <f>'2-Data Input &amp; Assumptions'!N141/1000</f>
        <v>0</v>
      </c>
      <c r="Q54" s="16">
        <f>'2-Data Input &amp; Assumptions'!C184/1000</f>
        <v>0</v>
      </c>
      <c r="R54" s="16">
        <f>'2-Data Input &amp; Assumptions'!D184/1000</f>
        <v>0</v>
      </c>
      <c r="S54" s="16">
        <f>'2-Data Input &amp; Assumptions'!E184/1000</f>
        <v>0</v>
      </c>
      <c r="T54" s="16">
        <f>'2-Data Input &amp; Assumptions'!F184/1000</f>
        <v>0</v>
      </c>
      <c r="U54" s="16">
        <f>'2-Data Input &amp; Assumptions'!G184/1000</f>
        <v>0</v>
      </c>
      <c r="V54" s="16">
        <f>'2-Data Input &amp; Assumptions'!H184/1000</f>
        <v>0</v>
      </c>
      <c r="W54" s="16">
        <f>'2-Data Input &amp; Assumptions'!I184/1000</f>
        <v>0</v>
      </c>
      <c r="X54" s="16">
        <f>'2-Data Input &amp; Assumptions'!J184/1000</f>
        <v>0</v>
      </c>
      <c r="Y54" s="16">
        <f>'2-Data Input &amp; Assumptions'!K184/1000</f>
        <v>0</v>
      </c>
      <c r="Z54" s="16">
        <f>'2-Data Input &amp; Assumptions'!L184/1000</f>
        <v>0</v>
      </c>
      <c r="AA54" s="16">
        <f>'2-Data Input &amp; Assumptions'!M184/1000</f>
        <v>0</v>
      </c>
      <c r="AB54" s="80">
        <f>'2-Data Input &amp; Assumptions'!N184/1000</f>
        <v>0</v>
      </c>
      <c r="AC54" s="16">
        <f>Q54*(1+'2-Data Input &amp; Assumptions'!$G226)</f>
        <v>0</v>
      </c>
      <c r="AD54" s="16">
        <f>R54*(1+'2-Data Input &amp; Assumptions'!$G226)</f>
        <v>0</v>
      </c>
      <c r="AE54" s="16">
        <f>S54*(1+'2-Data Input &amp; Assumptions'!$G226)</f>
        <v>0</v>
      </c>
      <c r="AF54" s="16">
        <f>T54*(1+'2-Data Input &amp; Assumptions'!$G226)</f>
        <v>0</v>
      </c>
      <c r="AG54" s="16">
        <f>U54*(1+'2-Data Input &amp; Assumptions'!$G226)</f>
        <v>0</v>
      </c>
      <c r="AH54" s="16">
        <f>V54*(1+'2-Data Input &amp; Assumptions'!$G226)</f>
        <v>0</v>
      </c>
      <c r="AI54" s="16">
        <f>W54*(1+'2-Data Input &amp; Assumptions'!$G226)</f>
        <v>0</v>
      </c>
      <c r="AJ54" s="16">
        <f>X54*(1+'2-Data Input &amp; Assumptions'!$G226)</f>
        <v>0</v>
      </c>
      <c r="AK54" s="16">
        <f>Y54*(1+'2-Data Input &amp; Assumptions'!$G226)</f>
        <v>0</v>
      </c>
      <c r="AL54" s="16">
        <f>Z54*(1+'2-Data Input &amp; Assumptions'!$G226)</f>
        <v>0</v>
      </c>
      <c r="AM54" s="16">
        <f>AA54*(1+'2-Data Input &amp; Assumptions'!$G226)</f>
        <v>0</v>
      </c>
      <c r="AN54" s="16">
        <f>AB54*(1+'2-Data Input &amp; Assumptions'!$G226)</f>
        <v>0</v>
      </c>
    </row>
    <row r="55" spans="2:45" x14ac:dyDescent="0.3">
      <c r="B55" s="14"/>
      <c r="D55" s="15" t="str">
        <f>'2-Data Input &amp; Assumptions'!A17</f>
        <v>DONATIONS/CONTRIBS/ INV INCOME</v>
      </c>
      <c r="E55" s="16">
        <f>'2-Data Input &amp; Assumptions'!C142/1000</f>
        <v>715.18299999999999</v>
      </c>
      <c r="F55" s="16">
        <f>'2-Data Input &amp; Assumptions'!D142/1000</f>
        <v>1226.8340000000001</v>
      </c>
      <c r="G55" s="16">
        <f>'2-Data Input &amp; Assumptions'!E142/1000</f>
        <v>355.79300000000001</v>
      </c>
      <c r="H55" s="16">
        <f>'2-Data Input &amp; Assumptions'!F142/1000</f>
        <v>250.917</v>
      </c>
      <c r="I55" s="16">
        <f>'2-Data Input &amp; Assumptions'!G142/1000</f>
        <v>264.41800000000001</v>
      </c>
      <c r="J55" s="16">
        <f>'2-Data Input &amp; Assumptions'!H142/1000</f>
        <v>377.58800000000002</v>
      </c>
      <c r="K55" s="16">
        <f>'2-Data Input &amp; Assumptions'!I142/1000</f>
        <v>306.589</v>
      </c>
      <c r="L55" s="16">
        <f>'2-Data Input &amp; Assumptions'!J142/1000</f>
        <v>843.20500000000004</v>
      </c>
      <c r="M55" s="16">
        <f>'2-Data Input &amp; Assumptions'!K142/1000</f>
        <v>515.64200000000005</v>
      </c>
      <c r="N55" s="16">
        <f>'2-Data Input &amp; Assumptions'!L142/1000</f>
        <v>226.78700000000001</v>
      </c>
      <c r="O55" s="16">
        <f>'2-Data Input &amp; Assumptions'!M142/1000</f>
        <v>240.02799999999999</v>
      </c>
      <c r="P55" s="80">
        <f>'2-Data Input &amp; Assumptions'!N142/1000</f>
        <v>351.17899999999997</v>
      </c>
      <c r="Q55" s="16">
        <f>'2-Data Input &amp; Assumptions'!C185/1000</f>
        <v>310.12700000000001</v>
      </c>
      <c r="R55" s="16">
        <f>'2-Data Input &amp; Assumptions'!D185/1000</f>
        <v>907.60799999999995</v>
      </c>
      <c r="S55" s="16">
        <f>'2-Data Input &amp; Assumptions'!E185/1000</f>
        <v>306.42200000000003</v>
      </c>
      <c r="T55" s="16">
        <f>'2-Data Input &amp; Assumptions'!F185/1000</f>
        <v>235.58</v>
      </c>
      <c r="U55" s="16">
        <f>'2-Data Input &amp; Assumptions'!G185/1000</f>
        <v>271.34100000000001</v>
      </c>
      <c r="V55" s="16">
        <f>'2-Data Input &amp; Assumptions'!H185/1000</f>
        <v>320.28399999999999</v>
      </c>
      <c r="W55" s="16">
        <f>'2-Data Input &amp; Assumptions'!I185/1000</f>
        <v>233.79900000000001</v>
      </c>
      <c r="X55" s="16">
        <f>'2-Data Input &amp; Assumptions'!J185/1000</f>
        <v>738.03899999999999</v>
      </c>
      <c r="Y55" s="16">
        <f>'2-Data Input &amp; Assumptions'!K185/1000</f>
        <v>267.04500000000002</v>
      </c>
      <c r="Z55" s="16">
        <f>'2-Data Input &amp; Assumptions'!L185/1000</f>
        <v>233.85300000000001</v>
      </c>
      <c r="AA55" s="16">
        <f>'2-Data Input &amp; Assumptions'!M185/1000</f>
        <v>268.48200000000003</v>
      </c>
      <c r="AB55" s="80">
        <f>'2-Data Input &amp; Assumptions'!N185/1000</f>
        <v>284.38499999999999</v>
      </c>
      <c r="AC55" s="16">
        <f>Q55*(1+'2-Data Input &amp; Assumptions'!$G227)</f>
        <v>263.60795000000002</v>
      </c>
      <c r="AD55" s="16">
        <f>R55*(1+'2-Data Input &amp; Assumptions'!$G227)</f>
        <v>771.46679999999992</v>
      </c>
      <c r="AE55" s="16">
        <f>S55*(1+'2-Data Input &amp; Assumptions'!$G227)</f>
        <v>260.45870000000002</v>
      </c>
      <c r="AF55" s="16">
        <f>T55*(1+'2-Data Input &amp; Assumptions'!$G227)</f>
        <v>200.24299999999999</v>
      </c>
      <c r="AG55" s="16">
        <f>U55*(1+'2-Data Input &amp; Assumptions'!$G227)</f>
        <v>230.63985</v>
      </c>
      <c r="AH55" s="16">
        <f>V55*(1+'2-Data Input &amp; Assumptions'!$G227)</f>
        <v>272.2414</v>
      </c>
      <c r="AI55" s="16">
        <f>W55*(1+'2-Data Input &amp; Assumptions'!$G227)</f>
        <v>198.72915</v>
      </c>
      <c r="AJ55" s="16">
        <f>X55*(1+'2-Data Input &amp; Assumptions'!$G227)</f>
        <v>627.33314999999993</v>
      </c>
      <c r="AK55" s="16">
        <f>Y55*(1+'2-Data Input &amp; Assumptions'!$G227)</f>
        <v>226.98824999999999</v>
      </c>
      <c r="AL55" s="16">
        <f>Z55*(1+'2-Data Input &amp; Assumptions'!$G227)</f>
        <v>198.77504999999999</v>
      </c>
      <c r="AM55" s="16">
        <f>AA55*(1+'2-Data Input &amp; Assumptions'!$G227)</f>
        <v>228.20970000000003</v>
      </c>
      <c r="AN55" s="16">
        <f>AB55*(1+'2-Data Input &amp; Assumptions'!$G227)</f>
        <v>241.72725</v>
      </c>
      <c r="AQ55" s="5"/>
      <c r="AR55" s="5"/>
      <c r="AS55" s="5"/>
    </row>
    <row r="56" spans="2:45" x14ac:dyDescent="0.3">
      <c r="B56" s="14"/>
      <c r="D56" s="15" t="str">
        <f>'2-Data Input &amp; Assumptions'!A18</f>
        <v>FINES &amp; FORFEITURES</v>
      </c>
      <c r="E56" s="16">
        <f>'2-Data Input &amp; Assumptions'!C143/1000</f>
        <v>0</v>
      </c>
      <c r="F56" s="16">
        <f>'2-Data Input &amp; Assumptions'!D143/1000</f>
        <v>0</v>
      </c>
      <c r="G56" s="16">
        <f>'2-Data Input &amp; Assumptions'!E143/1000</f>
        <v>0</v>
      </c>
      <c r="H56" s="16">
        <f>'2-Data Input &amp; Assumptions'!F143/1000</f>
        <v>0</v>
      </c>
      <c r="I56" s="16">
        <f>'2-Data Input &amp; Assumptions'!G143/1000</f>
        <v>0</v>
      </c>
      <c r="J56" s="16">
        <f>'2-Data Input &amp; Assumptions'!H143/1000</f>
        <v>0</v>
      </c>
      <c r="K56" s="16">
        <f>'2-Data Input &amp; Assumptions'!I143/1000</f>
        <v>0</v>
      </c>
      <c r="L56" s="16">
        <f>'2-Data Input &amp; Assumptions'!J143/1000</f>
        <v>0</v>
      </c>
      <c r="M56" s="16">
        <f>'2-Data Input &amp; Assumptions'!K143/1000</f>
        <v>0</v>
      </c>
      <c r="N56" s="16">
        <f>'2-Data Input &amp; Assumptions'!L143/1000</f>
        <v>0</v>
      </c>
      <c r="O56" s="16">
        <f>'2-Data Input &amp; Assumptions'!M143/1000</f>
        <v>0</v>
      </c>
      <c r="P56" s="80">
        <f>'2-Data Input &amp; Assumptions'!N143/1000</f>
        <v>0</v>
      </c>
      <c r="Q56" s="16">
        <f>'2-Data Input &amp; Assumptions'!C186/1000</f>
        <v>0</v>
      </c>
      <c r="R56" s="16">
        <f>'2-Data Input &amp; Assumptions'!D186/1000</f>
        <v>0</v>
      </c>
      <c r="S56" s="16">
        <f>'2-Data Input &amp; Assumptions'!E186/1000</f>
        <v>0</v>
      </c>
      <c r="T56" s="16">
        <f>'2-Data Input &amp; Assumptions'!F186/1000</f>
        <v>0</v>
      </c>
      <c r="U56" s="16">
        <f>'2-Data Input &amp; Assumptions'!G186/1000</f>
        <v>0</v>
      </c>
      <c r="V56" s="16">
        <f>'2-Data Input &amp; Assumptions'!H186/1000</f>
        <v>0</v>
      </c>
      <c r="W56" s="16">
        <f>'2-Data Input &amp; Assumptions'!I186/1000</f>
        <v>0</v>
      </c>
      <c r="X56" s="16">
        <f>'2-Data Input &amp; Assumptions'!J186/1000</f>
        <v>0</v>
      </c>
      <c r="Y56" s="16">
        <f>'2-Data Input &amp; Assumptions'!K186/1000</f>
        <v>0</v>
      </c>
      <c r="Z56" s="16">
        <f>'2-Data Input &amp; Assumptions'!L186/1000</f>
        <v>0</v>
      </c>
      <c r="AA56" s="16">
        <f>'2-Data Input &amp; Assumptions'!M186/1000</f>
        <v>0</v>
      </c>
      <c r="AB56" s="80">
        <f>'2-Data Input &amp; Assumptions'!N186/1000</f>
        <v>0</v>
      </c>
      <c r="AC56" s="16">
        <f>Q56*(1+'2-Data Input &amp; Assumptions'!$G228)</f>
        <v>0</v>
      </c>
      <c r="AD56" s="16">
        <f>R56*(1+'2-Data Input &amp; Assumptions'!$G228)</f>
        <v>0</v>
      </c>
      <c r="AE56" s="16">
        <f>S56*(1+'2-Data Input &amp; Assumptions'!$G228)</f>
        <v>0</v>
      </c>
      <c r="AF56" s="16">
        <f>T56*(1+'2-Data Input &amp; Assumptions'!$G228)</f>
        <v>0</v>
      </c>
      <c r="AG56" s="16">
        <f>U56*(1+'2-Data Input &amp; Assumptions'!$G228)</f>
        <v>0</v>
      </c>
      <c r="AH56" s="16">
        <f>V56*(1+'2-Data Input &amp; Assumptions'!$G228)</f>
        <v>0</v>
      </c>
      <c r="AI56" s="16">
        <f>W56*(1+'2-Data Input &amp; Assumptions'!$G228)</f>
        <v>0</v>
      </c>
      <c r="AJ56" s="16">
        <f>X56*(1+'2-Data Input &amp; Assumptions'!$G228)</f>
        <v>0</v>
      </c>
      <c r="AK56" s="16">
        <f>Y56*(1+'2-Data Input &amp; Assumptions'!$G228)</f>
        <v>0</v>
      </c>
      <c r="AL56" s="16">
        <f>Z56*(1+'2-Data Input &amp; Assumptions'!$G228)</f>
        <v>0</v>
      </c>
      <c r="AM56" s="16">
        <f>AA56*(1+'2-Data Input &amp; Assumptions'!$G228)</f>
        <v>0</v>
      </c>
      <c r="AN56" s="16">
        <f>AB56*(1+'2-Data Input &amp; Assumptions'!$G228)</f>
        <v>0</v>
      </c>
      <c r="AQ56" s="5"/>
      <c r="AR56" s="5"/>
      <c r="AS56" s="5"/>
    </row>
    <row r="57" spans="2:45" x14ac:dyDescent="0.3">
      <c r="B57" s="14"/>
      <c r="D57" s="15" t="str">
        <f>'2-Data Input &amp; Assumptions'!A19</f>
        <v>USE OF MONEY &amp; PROPERTY</v>
      </c>
      <c r="E57" s="16">
        <f>'2-Data Input &amp; Assumptions'!C144/1000</f>
        <v>0</v>
      </c>
      <c r="F57" s="16">
        <f>'2-Data Input &amp; Assumptions'!D144/1000</f>
        <v>0</v>
      </c>
      <c r="G57" s="16">
        <f>'2-Data Input &amp; Assumptions'!E144/1000</f>
        <v>0</v>
      </c>
      <c r="H57" s="16">
        <f>'2-Data Input &amp; Assumptions'!F144/1000</f>
        <v>0</v>
      </c>
      <c r="I57" s="16">
        <f>'2-Data Input &amp; Assumptions'!G144/1000</f>
        <v>0</v>
      </c>
      <c r="J57" s="16">
        <f>'2-Data Input &amp; Assumptions'!H144/1000</f>
        <v>0</v>
      </c>
      <c r="K57" s="16">
        <f>'2-Data Input &amp; Assumptions'!I144/1000</f>
        <v>0</v>
      </c>
      <c r="L57" s="16">
        <f>'2-Data Input &amp; Assumptions'!J144/1000</f>
        <v>0</v>
      </c>
      <c r="M57" s="16">
        <f>'2-Data Input &amp; Assumptions'!K144/1000</f>
        <v>0</v>
      </c>
      <c r="N57" s="16">
        <f>'2-Data Input &amp; Assumptions'!L144/1000</f>
        <v>0</v>
      </c>
      <c r="O57" s="16">
        <f>'2-Data Input &amp; Assumptions'!M144/1000</f>
        <v>0</v>
      </c>
      <c r="P57" s="80">
        <f>'2-Data Input &amp; Assumptions'!N144/1000</f>
        <v>0</v>
      </c>
      <c r="Q57" s="16">
        <f>'2-Data Input &amp; Assumptions'!C187/1000</f>
        <v>0</v>
      </c>
      <c r="R57" s="16">
        <f>'2-Data Input &amp; Assumptions'!D187/1000</f>
        <v>0</v>
      </c>
      <c r="S57" s="16">
        <f>'2-Data Input &amp; Assumptions'!E187/1000</f>
        <v>0</v>
      </c>
      <c r="T57" s="16">
        <f>'2-Data Input &amp; Assumptions'!F187/1000</f>
        <v>0</v>
      </c>
      <c r="U57" s="16">
        <f>'2-Data Input &amp; Assumptions'!G187/1000</f>
        <v>0</v>
      </c>
      <c r="V57" s="16">
        <f>'2-Data Input &amp; Assumptions'!H187/1000</f>
        <v>0</v>
      </c>
      <c r="W57" s="16">
        <f>'2-Data Input &amp; Assumptions'!I187/1000</f>
        <v>0</v>
      </c>
      <c r="X57" s="16">
        <f>'2-Data Input &amp; Assumptions'!J187/1000</f>
        <v>0</v>
      </c>
      <c r="Y57" s="16">
        <f>'2-Data Input &amp; Assumptions'!K187/1000</f>
        <v>0</v>
      </c>
      <c r="Z57" s="16">
        <f>'2-Data Input &amp; Assumptions'!L187/1000</f>
        <v>0</v>
      </c>
      <c r="AA57" s="16">
        <f>'2-Data Input &amp; Assumptions'!M187/1000</f>
        <v>0</v>
      </c>
      <c r="AB57" s="80">
        <f>'2-Data Input &amp; Assumptions'!N187/1000</f>
        <v>0</v>
      </c>
      <c r="AC57" s="16">
        <f>Q57*(1+'2-Data Input &amp; Assumptions'!$G229)</f>
        <v>0</v>
      </c>
      <c r="AD57" s="16">
        <f>R57*(1+'2-Data Input &amp; Assumptions'!$G229)</f>
        <v>0</v>
      </c>
      <c r="AE57" s="16">
        <f>S57*(1+'2-Data Input &amp; Assumptions'!$G229)</f>
        <v>0</v>
      </c>
      <c r="AF57" s="16">
        <f>T57*(1+'2-Data Input &amp; Assumptions'!$G229)</f>
        <v>0</v>
      </c>
      <c r="AG57" s="16">
        <f>U57*(1+'2-Data Input &amp; Assumptions'!$G229)</f>
        <v>0</v>
      </c>
      <c r="AH57" s="16">
        <f>V57*(1+'2-Data Input &amp; Assumptions'!$G229)</f>
        <v>0</v>
      </c>
      <c r="AI57" s="16">
        <f>W57*(1+'2-Data Input &amp; Assumptions'!$G229)</f>
        <v>0</v>
      </c>
      <c r="AJ57" s="16">
        <f>X57*(1+'2-Data Input &amp; Assumptions'!$G229)</f>
        <v>0</v>
      </c>
      <c r="AK57" s="16">
        <f>Y57*(1+'2-Data Input &amp; Assumptions'!$G229)</f>
        <v>0</v>
      </c>
      <c r="AL57" s="16">
        <f>Z57*(1+'2-Data Input &amp; Assumptions'!$G229)</f>
        <v>0</v>
      </c>
      <c r="AM57" s="16">
        <f>AA57*(1+'2-Data Input &amp; Assumptions'!$G229)</f>
        <v>0</v>
      </c>
      <c r="AN57" s="16">
        <f>AB57*(1+'2-Data Input &amp; Assumptions'!$G229)</f>
        <v>0</v>
      </c>
      <c r="AQ57" s="5"/>
      <c r="AR57" s="5"/>
      <c r="AS57" s="5"/>
    </row>
    <row r="58" spans="2:45" x14ac:dyDescent="0.3">
      <c r="B58" s="14"/>
      <c r="D58" s="15" t="str">
        <f>'2-Data Input &amp; Assumptions'!A20</f>
        <v>OTHER SOURCES / INV MATURITIES</v>
      </c>
      <c r="E58" s="16">
        <f>'2-Data Input &amp; Assumptions'!C145/1000</f>
        <v>16872</v>
      </c>
      <c r="F58" s="16">
        <f>'2-Data Input &amp; Assumptions'!D145/1000</f>
        <v>11085</v>
      </c>
      <c r="G58" s="16">
        <f>'2-Data Input &amp; Assumptions'!E145/1000</f>
        <v>6371</v>
      </c>
      <c r="H58" s="16">
        <f>'2-Data Input &amp; Assumptions'!F145/1000</f>
        <v>1945</v>
      </c>
      <c r="I58" s="16">
        <f>'2-Data Input &amp; Assumptions'!G145/1000</f>
        <v>3000</v>
      </c>
      <c r="J58" s="16">
        <f>'2-Data Input &amp; Assumptions'!H145/1000</f>
        <v>2000</v>
      </c>
      <c r="K58" s="16">
        <f>'2-Data Input &amp; Assumptions'!I145/1000</f>
        <v>1244</v>
      </c>
      <c r="L58" s="16">
        <f>'2-Data Input &amp; Assumptions'!J145/1000</f>
        <v>2470</v>
      </c>
      <c r="M58" s="16">
        <f>'2-Data Input &amp; Assumptions'!K145/1000</f>
        <v>6166.8909999999996</v>
      </c>
      <c r="N58" s="16">
        <f>'2-Data Input &amp; Assumptions'!L145/1000</f>
        <v>5000</v>
      </c>
      <c r="O58" s="16">
        <f>'2-Data Input &amp; Assumptions'!M145/1000</f>
        <v>450</v>
      </c>
      <c r="P58" s="80">
        <f>'2-Data Input &amp; Assumptions'!N145/1000</f>
        <v>1595</v>
      </c>
      <c r="Q58" s="16">
        <f>'2-Data Input &amp; Assumptions'!C188/1000</f>
        <v>8447</v>
      </c>
      <c r="R58" s="16">
        <f>'2-Data Input &amp; Assumptions'!D188/1000</f>
        <v>12355</v>
      </c>
      <c r="S58" s="16">
        <f>'2-Data Input &amp; Assumptions'!E188/1000</f>
        <v>11245</v>
      </c>
      <c r="T58" s="16">
        <f>'2-Data Input &amp; Assumptions'!F188/1000</f>
        <v>0</v>
      </c>
      <c r="U58" s="16">
        <f>'2-Data Input &amp; Assumptions'!G188/1000</f>
        <v>0</v>
      </c>
      <c r="V58" s="16">
        <f>'2-Data Input &amp; Assumptions'!H188/1000</f>
        <v>2000</v>
      </c>
      <c r="W58" s="16">
        <f>'2-Data Input &amp; Assumptions'!I188/1000</f>
        <v>2475</v>
      </c>
      <c r="X58" s="16">
        <f>'2-Data Input &amp; Assumptions'!J188/1000</f>
        <v>965</v>
      </c>
      <c r="Y58" s="16">
        <f>'2-Data Input &amp; Assumptions'!K188/1000</f>
        <v>0</v>
      </c>
      <c r="Z58" s="16">
        <f>'2-Data Input &amp; Assumptions'!L188/1000</f>
        <v>0</v>
      </c>
      <c r="AA58" s="16">
        <f>'2-Data Input &amp; Assumptions'!M188/1000</f>
        <v>6000</v>
      </c>
      <c r="AB58" s="80">
        <f>'2-Data Input &amp; Assumptions'!N188/1000</f>
        <v>450</v>
      </c>
      <c r="AC58" s="16">
        <f>Q58*(1+'2-Data Input &amp; Assumptions'!$G230)</f>
        <v>8447</v>
      </c>
      <c r="AD58" s="16">
        <f>R58*(1+'2-Data Input &amp; Assumptions'!$G230)</f>
        <v>12355</v>
      </c>
      <c r="AE58" s="16">
        <f>S58*(1+'2-Data Input &amp; Assumptions'!$G230)</f>
        <v>11245</v>
      </c>
      <c r="AF58" s="16">
        <f>T58*(1+'2-Data Input &amp; Assumptions'!$G230)</f>
        <v>0</v>
      </c>
      <c r="AG58" s="16">
        <f>U58*(1+'2-Data Input &amp; Assumptions'!$G230)</f>
        <v>0</v>
      </c>
      <c r="AH58" s="16">
        <f>V58*(1+'2-Data Input &amp; Assumptions'!$G230)</f>
        <v>2000</v>
      </c>
      <c r="AI58" s="16">
        <f>W58*(1+'2-Data Input &amp; Assumptions'!$G230)</f>
        <v>2475</v>
      </c>
      <c r="AJ58" s="16">
        <f>X58*(1+'2-Data Input &amp; Assumptions'!$G230)</f>
        <v>965</v>
      </c>
      <c r="AK58" s="16">
        <f>Y58*(1+'2-Data Input &amp; Assumptions'!$G230)</f>
        <v>0</v>
      </c>
      <c r="AL58" s="16">
        <f>Z58*(1+'2-Data Input &amp; Assumptions'!$G230)</f>
        <v>0</v>
      </c>
      <c r="AM58" s="16">
        <f>AA58*(1+'2-Data Input &amp; Assumptions'!$G230)</f>
        <v>6000</v>
      </c>
      <c r="AN58" s="16">
        <f>AB58*(1+'2-Data Input &amp; Assumptions'!$G230)</f>
        <v>450</v>
      </c>
      <c r="AQ58" s="5"/>
      <c r="AR58" s="5"/>
      <c r="AS58" s="5"/>
    </row>
    <row r="59" spans="2:45" x14ac:dyDescent="0.3">
      <c r="B59" s="14"/>
      <c r="D59" s="15" t="str">
        <f>'2-Data Input &amp; Assumptions'!A21</f>
        <v>TRANSIT TAX</v>
      </c>
      <c r="E59" s="16">
        <f>'2-Data Input &amp; Assumptions'!C146/1000</f>
        <v>1056.355</v>
      </c>
      <c r="F59" s="16">
        <f>'2-Data Input &amp; Assumptions'!D146/1000</f>
        <v>1203.0909999999999</v>
      </c>
      <c r="G59" s="16">
        <f>'2-Data Input &amp; Assumptions'!E146/1000</f>
        <v>944.25699999999995</v>
      </c>
      <c r="H59" s="16">
        <f>'2-Data Input &amp; Assumptions'!F146/1000</f>
        <v>870</v>
      </c>
      <c r="I59" s="16">
        <f>'2-Data Input &amp; Assumptions'!G146/1000</f>
        <v>602.6</v>
      </c>
      <c r="J59" s="16">
        <f>'2-Data Input &amp; Assumptions'!H146/1000</f>
        <v>611.1</v>
      </c>
      <c r="K59" s="16">
        <f>'2-Data Input &amp; Assumptions'!I146/1000</f>
        <v>647.70000000000005</v>
      </c>
      <c r="L59" s="16">
        <f>'2-Data Input &amp; Assumptions'!J146/1000</f>
        <v>664.7</v>
      </c>
      <c r="M59" s="16">
        <f>'2-Data Input &amp; Assumptions'!K146/1000</f>
        <v>734.8</v>
      </c>
      <c r="N59" s="16">
        <f>'2-Data Input &amp; Assumptions'!L146/1000</f>
        <v>678.7</v>
      </c>
      <c r="O59" s="16">
        <f>'2-Data Input &amp; Assumptions'!M146/1000</f>
        <v>664.6</v>
      </c>
      <c r="P59" s="80">
        <f>'2-Data Input &amp; Assumptions'!N146/1000</f>
        <v>651.1</v>
      </c>
      <c r="Q59" s="16">
        <f>'2-Data Input &amp; Assumptions'!C189/1000</f>
        <v>1009.1318033927582</v>
      </c>
      <c r="R59" s="16">
        <f>'2-Data Input &amp; Assumptions'!D189/1000</f>
        <v>1022.7695540472661</v>
      </c>
      <c r="S59" s="16">
        <f>'2-Data Input &amp; Assumptions'!E189/1000</f>
        <v>889.99795788568338</v>
      </c>
      <c r="T59" s="16">
        <f>'2-Data Input &amp; Assumptions'!F189/1000</f>
        <v>779.48421403646728</v>
      </c>
      <c r="U59" s="16">
        <f>'2-Data Input &amp; Assumptions'!G189/1000</f>
        <v>970.54065892414042</v>
      </c>
      <c r="V59" s="16">
        <f>'2-Data Input &amp; Assumptions'!H189/1000</f>
        <v>943.64649498718768</v>
      </c>
      <c r="W59" s="16">
        <f>'2-Data Input &amp; Assumptions'!I189/1000</f>
        <v>1031.1234110891376</v>
      </c>
      <c r="X59" s="16">
        <f>'2-Data Input &amp; Assumptions'!J189/1000</f>
        <v>945.45488374252659</v>
      </c>
      <c r="Y59" s="16">
        <f>'2-Data Input &amp; Assumptions'!K189/1000</f>
        <v>1231.8476474871889</v>
      </c>
      <c r="Z59" s="16">
        <f>'2-Data Input &amp; Assumptions'!L189/1000</f>
        <v>1079.2504596609565</v>
      </c>
      <c r="AA59" s="16">
        <f>'2-Data Input &amp; Assumptions'!M189/1000</f>
        <v>1048.7419880149582</v>
      </c>
      <c r="AB59" s="80">
        <f>'2-Data Input &amp; Assumptions'!N189/1000</f>
        <v>1048.0109267317293</v>
      </c>
      <c r="AC59" s="16">
        <f>Q59*(1+'2-Data Input &amp; Assumptions'!$G231)</f>
        <v>1009.1318033927582</v>
      </c>
      <c r="AD59" s="16">
        <f>R59*(1+'2-Data Input &amp; Assumptions'!$G231)</f>
        <v>1022.7695540472661</v>
      </c>
      <c r="AE59" s="16">
        <f>S59*(1+'2-Data Input &amp; Assumptions'!$G231)</f>
        <v>889.99795788568338</v>
      </c>
      <c r="AF59" s="16">
        <f>T59*(1+'2-Data Input &amp; Assumptions'!$G231)</f>
        <v>779.48421403646728</v>
      </c>
      <c r="AG59" s="16">
        <f>U59*(1+'2-Data Input &amp; Assumptions'!$G231)</f>
        <v>970.54065892414042</v>
      </c>
      <c r="AH59" s="16">
        <f>V59*(1+'2-Data Input &amp; Assumptions'!$G231)</f>
        <v>943.64649498718768</v>
      </c>
      <c r="AI59" s="16">
        <f>W59*(1+'2-Data Input &amp; Assumptions'!$G231)</f>
        <v>1031.1234110891376</v>
      </c>
      <c r="AJ59" s="16">
        <f>X59*(1+'2-Data Input &amp; Assumptions'!$G231)</f>
        <v>945.45488374252659</v>
      </c>
      <c r="AK59" s="16">
        <f>Y59*(1+'2-Data Input &amp; Assumptions'!$G231)</f>
        <v>1231.8476474871889</v>
      </c>
      <c r="AL59" s="16">
        <f>Z59*(1+'2-Data Input &amp; Assumptions'!$G231)</f>
        <v>1079.2504596609565</v>
      </c>
      <c r="AM59" s="16">
        <f>AA59*(1+'2-Data Input &amp; Assumptions'!$G231)</f>
        <v>1048.7419880149582</v>
      </c>
      <c r="AN59" s="16">
        <f>AB59*(1+'2-Data Input &amp; Assumptions'!$G231)</f>
        <v>1048.0109267317293</v>
      </c>
      <c r="AQ59" s="5"/>
      <c r="AR59" s="5"/>
      <c r="AS59" s="5"/>
    </row>
    <row r="60" spans="2:45" x14ac:dyDescent="0.3">
      <c r="B60" s="14"/>
      <c r="D60" s="15" t="str">
        <f>'2-Data Input &amp; Assumptions'!A22</f>
        <v>PARK</v>
      </c>
      <c r="E60" s="16">
        <f>'2-Data Input &amp; Assumptions'!C147/1000</f>
        <v>260.399</v>
      </c>
      <c r="F60" s="16">
        <f>'2-Data Input &amp; Assumptions'!D147/1000</f>
        <v>114.91200000000001</v>
      </c>
      <c r="G60" s="16">
        <f>'2-Data Input &amp; Assumptions'!E147/1000</f>
        <v>67.965000000000003</v>
      </c>
      <c r="H60" s="16">
        <f>'2-Data Input &amp; Assumptions'!F147/1000</f>
        <v>127.2</v>
      </c>
      <c r="I60" s="16">
        <f>'2-Data Input &amp; Assumptions'!G147/1000</f>
        <v>315.2</v>
      </c>
      <c r="J60" s="16">
        <f>'2-Data Input &amp; Assumptions'!H147/1000</f>
        <v>515</v>
      </c>
      <c r="K60" s="16">
        <f>'2-Data Input &amp; Assumptions'!I147/1000</f>
        <v>647.4</v>
      </c>
      <c r="L60" s="16">
        <f>'2-Data Input &amp; Assumptions'!J147/1000</f>
        <v>346.05</v>
      </c>
      <c r="M60" s="16">
        <f>'2-Data Input &amp; Assumptions'!K147/1000</f>
        <v>179.02500000000001</v>
      </c>
      <c r="N60" s="16">
        <f>'2-Data Input &amp; Assumptions'!L147/1000</f>
        <v>81.974999999999994</v>
      </c>
      <c r="O60" s="16">
        <f>'2-Data Input &amp; Assumptions'!M147/1000</f>
        <v>13.725</v>
      </c>
      <c r="P60" s="80">
        <f>'2-Data Input &amp; Assumptions'!N147/1000</f>
        <v>60.6</v>
      </c>
      <c r="Q60" s="16">
        <f>'2-Data Input &amp; Assumptions'!C190/1000</f>
        <v>240.12192970850018</v>
      </c>
      <c r="R60" s="16">
        <f>'2-Data Input &amp; Assumptions'!D190/1000</f>
        <v>122.0786183055537</v>
      </c>
      <c r="S60" s="16">
        <f>'2-Data Input &amp; Assumptions'!E190/1000</f>
        <v>111.50016490600885</v>
      </c>
      <c r="T60" s="16">
        <f>'2-Data Input &amp; Assumptions'!F190/1000</f>
        <v>140.67270108596892</v>
      </c>
      <c r="U60" s="16">
        <f>'2-Data Input &amp; Assumptions'!G190/1000</f>
        <v>371.96413224482046</v>
      </c>
      <c r="V60" s="16">
        <f>'2-Data Input &amp; Assumptions'!H190/1000</f>
        <v>833.65899610936765</v>
      </c>
      <c r="W60" s="16">
        <f>'2-Data Input &amp; Assumptions'!I190/1000</f>
        <v>1509.152546371962</v>
      </c>
      <c r="X60" s="16">
        <f>'2-Data Input &amp; Assumptions'!J190/1000</f>
        <v>1087.5242826826543</v>
      </c>
      <c r="Y60" s="16">
        <f>'2-Data Input &amp; Assumptions'!K190/1000</f>
        <v>334.26351184910385</v>
      </c>
      <c r="Z60" s="16">
        <f>'2-Data Input &amp; Assumptions'!L190/1000</f>
        <v>140.60726962099955</v>
      </c>
      <c r="AA60" s="16">
        <f>'2-Data Input &amp; Assumptions'!M190/1000</f>
        <v>28.171269812655584</v>
      </c>
      <c r="AB60" s="80">
        <f>'2-Data Input &amp; Assumptions'!N190/1000</f>
        <v>88.228007302404919</v>
      </c>
      <c r="AC60" s="16">
        <f>Q60*(1+'2-Data Input &amp; Assumptions'!$G232)</f>
        <v>247.32558759975518</v>
      </c>
      <c r="AD60" s="16">
        <f>R60*(1+'2-Data Input &amp; Assumptions'!$G232)</f>
        <v>125.74097685472032</v>
      </c>
      <c r="AE60" s="16">
        <f>S60*(1+'2-Data Input &amp; Assumptions'!$G232)</f>
        <v>114.84516985318912</v>
      </c>
      <c r="AF60" s="16">
        <f>T60*(1+'2-Data Input &amp; Assumptions'!$G232)</f>
        <v>144.89288211854799</v>
      </c>
      <c r="AG60" s="16">
        <f>U60*(1+'2-Data Input &amp; Assumptions'!$G232)</f>
        <v>383.12305621216507</v>
      </c>
      <c r="AH60" s="16">
        <f>V60*(1+'2-Data Input &amp; Assumptions'!$G232)</f>
        <v>858.66876599264867</v>
      </c>
      <c r="AI60" s="16">
        <f>W60*(1+'2-Data Input &amp; Assumptions'!$G232)</f>
        <v>1554.4271227631209</v>
      </c>
      <c r="AJ60" s="16">
        <f>X60*(1+'2-Data Input &amp; Assumptions'!$G232)</f>
        <v>1120.150011163134</v>
      </c>
      <c r="AK60" s="16">
        <f>Y60*(1+'2-Data Input &amp; Assumptions'!$G232)</f>
        <v>344.29141720457699</v>
      </c>
      <c r="AL60" s="16">
        <f>Z60*(1+'2-Data Input &amp; Assumptions'!$G232)</f>
        <v>144.82548770962953</v>
      </c>
      <c r="AM60" s="16">
        <f>AA60*(1+'2-Data Input &amp; Assumptions'!$G232)</f>
        <v>29.016407907035251</v>
      </c>
      <c r="AN60" s="16">
        <f>AB60*(1+'2-Data Input &amp; Assumptions'!$G232)</f>
        <v>90.874847521477065</v>
      </c>
      <c r="AQ60" s="5"/>
      <c r="AR60" s="5"/>
      <c r="AS60" s="5"/>
    </row>
    <row r="61" spans="2:45" x14ac:dyDescent="0.3">
      <c r="B61" s="14"/>
      <c r="D61" s="15" t="str">
        <f>'2-Data Input &amp; Assumptions'!A23</f>
        <v>LIBRARY</v>
      </c>
      <c r="E61" s="16">
        <f>'2-Data Input &amp; Assumptions'!C148/1000</f>
        <v>41.143000000000001</v>
      </c>
      <c r="F61" s="16">
        <f>'2-Data Input &amp; Assumptions'!D148/1000</f>
        <v>163.57</v>
      </c>
      <c r="G61" s="16">
        <f>'2-Data Input &amp; Assumptions'!E148/1000</f>
        <v>17.103999999999999</v>
      </c>
      <c r="H61" s="16">
        <f>'2-Data Input &amp; Assumptions'!F148/1000</f>
        <v>73.7</v>
      </c>
      <c r="I61" s="16">
        <f>'2-Data Input &amp; Assumptions'!G148/1000</f>
        <v>27.7</v>
      </c>
      <c r="J61" s="16">
        <f>'2-Data Input &amp; Assumptions'!H148/1000</f>
        <v>26.3</v>
      </c>
      <c r="K61" s="16">
        <f>'2-Data Input &amp; Assumptions'!I148/1000</f>
        <v>33.6</v>
      </c>
      <c r="L61" s="16">
        <f>'2-Data Input &amp; Assumptions'!J148/1000</f>
        <v>86.3</v>
      </c>
      <c r="M61" s="16">
        <f>'2-Data Input &amp; Assumptions'!K148/1000</f>
        <v>141.69999999999999</v>
      </c>
      <c r="N61" s="16">
        <f>'2-Data Input &amp; Assumptions'!L148/1000</f>
        <v>68.400000000000006</v>
      </c>
      <c r="O61" s="16">
        <f>'2-Data Input &amp; Assumptions'!M148/1000</f>
        <v>28.9</v>
      </c>
      <c r="P61" s="80">
        <f>'2-Data Input &amp; Assumptions'!N148/1000</f>
        <v>38.299999999999997</v>
      </c>
      <c r="Q61" s="16">
        <f>'2-Data Input &amp; Assumptions'!C191/1000</f>
        <v>39.462088854483717</v>
      </c>
      <c r="R61" s="16">
        <f>'2-Data Input &amp; Assumptions'!D191/1000</f>
        <v>25.539414293645216</v>
      </c>
      <c r="S61" s="16">
        <f>'2-Data Input &amp; Assumptions'!E191/1000</f>
        <v>89.882972663800786</v>
      </c>
      <c r="T61" s="16">
        <f>'2-Data Input &amp; Assumptions'!F191/1000</f>
        <v>74.393117435301534</v>
      </c>
      <c r="U61" s="16">
        <f>'2-Data Input &amp; Assumptions'!G191/1000</f>
        <v>32.124075581920451</v>
      </c>
      <c r="V61" s="16">
        <f>'2-Data Input &amp; Assumptions'!H191/1000</f>
        <v>27.534102661732391</v>
      </c>
      <c r="W61" s="16">
        <f>'2-Data Input &amp; Assumptions'!I191/1000</f>
        <v>32.731970677892662</v>
      </c>
      <c r="X61" s="16">
        <f>'2-Data Input &amp; Assumptions'!J191/1000</f>
        <v>68.865755679300435</v>
      </c>
      <c r="Y61" s="16">
        <f>'2-Data Input &amp; Assumptions'!K191/1000</f>
        <v>84.455710271801962</v>
      </c>
      <c r="Z61" s="16">
        <f>'2-Data Input &amp; Assumptions'!L191/1000</f>
        <v>100.45805338995875</v>
      </c>
      <c r="AA61" s="16">
        <f>'2-Data Input &amp; Assumptions'!M191/1000</f>
        <v>52.661649780576539</v>
      </c>
      <c r="AB61" s="80">
        <f>'2-Data Input &amp; Assumptions'!N191/1000</f>
        <v>34.795998709585582</v>
      </c>
      <c r="AC61" s="16">
        <f>Q61*(1+'2-Data Input &amp; Assumptions'!$G233)</f>
        <v>40.645951520118231</v>
      </c>
      <c r="AD61" s="16">
        <f>R61*(1+'2-Data Input &amp; Assumptions'!$G233)</f>
        <v>26.305596722454574</v>
      </c>
      <c r="AE61" s="16">
        <f>S61*(1+'2-Data Input &amp; Assumptions'!$G233)</f>
        <v>92.57946184371481</v>
      </c>
      <c r="AF61" s="16">
        <f>T61*(1+'2-Data Input &amp; Assumptions'!$G233)</f>
        <v>76.624910958360587</v>
      </c>
      <c r="AG61" s="16">
        <f>U61*(1+'2-Data Input &amp; Assumptions'!$G233)</f>
        <v>33.087797849378063</v>
      </c>
      <c r="AH61" s="16">
        <f>V61*(1+'2-Data Input &amp; Assumptions'!$G233)</f>
        <v>28.360125741584362</v>
      </c>
      <c r="AI61" s="16">
        <f>W61*(1+'2-Data Input &amp; Assumptions'!$G233)</f>
        <v>33.713929798229444</v>
      </c>
      <c r="AJ61" s="16">
        <f>X61*(1+'2-Data Input &amp; Assumptions'!$G233)</f>
        <v>70.931728349679446</v>
      </c>
      <c r="AK61" s="16">
        <f>Y61*(1+'2-Data Input &amp; Assumptions'!$G233)</f>
        <v>86.989381579956017</v>
      </c>
      <c r="AL61" s="16">
        <f>Z61*(1+'2-Data Input &amp; Assumptions'!$G233)</f>
        <v>103.47179499165752</v>
      </c>
      <c r="AM61" s="16">
        <f>AA61*(1+'2-Data Input &amp; Assumptions'!$G233)</f>
        <v>54.241499273993838</v>
      </c>
      <c r="AN61" s="16">
        <f>AB61*(1+'2-Data Input &amp; Assumptions'!$G233)</f>
        <v>35.839878670873148</v>
      </c>
      <c r="AQ61" s="5"/>
      <c r="AR61" s="5"/>
      <c r="AS61" s="5"/>
    </row>
    <row r="62" spans="2:45" x14ac:dyDescent="0.3">
      <c r="B62" s="14"/>
      <c r="D62" s="15" t="str">
        <f>'2-Data Input &amp; Assumptions'!A24</f>
        <v>FINANCING PROCEEDS</v>
      </c>
      <c r="E62" s="16">
        <f>'2-Data Input &amp; Assumptions'!C149/1000</f>
        <v>11548.502</v>
      </c>
      <c r="F62" s="16">
        <f>'2-Data Input &amp; Assumptions'!D149/1000</f>
        <v>0</v>
      </c>
      <c r="G62" s="16">
        <f>'2-Data Input &amp; Assumptions'!E149/1000</f>
        <v>0</v>
      </c>
      <c r="H62" s="16">
        <f>'2-Data Input &amp; Assumptions'!F149/1000</f>
        <v>0</v>
      </c>
      <c r="I62" s="16">
        <f>'2-Data Input &amp; Assumptions'!G149/1000</f>
        <v>0</v>
      </c>
      <c r="J62" s="16">
        <f>'2-Data Input &amp; Assumptions'!H149/1000</f>
        <v>0</v>
      </c>
      <c r="K62" s="16">
        <f>'2-Data Input &amp; Assumptions'!I149/1000</f>
        <v>0</v>
      </c>
      <c r="L62" s="16">
        <f>'2-Data Input &amp; Assumptions'!J149/1000</f>
        <v>0</v>
      </c>
      <c r="M62" s="16">
        <f>'2-Data Input &amp; Assumptions'!K149/1000</f>
        <v>0</v>
      </c>
      <c r="N62" s="16">
        <f>'2-Data Input &amp; Assumptions'!L149/1000</f>
        <v>0</v>
      </c>
      <c r="O62" s="16">
        <f>'2-Data Input &amp; Assumptions'!M149/1000</f>
        <v>0</v>
      </c>
      <c r="P62" s="80">
        <f>'2-Data Input &amp; Assumptions'!N149/1000</f>
        <v>0</v>
      </c>
      <c r="Q62" s="16">
        <f>'2-Data Input &amp; Assumptions'!C192/1000</f>
        <v>0</v>
      </c>
      <c r="R62" s="16">
        <f>'2-Data Input &amp; Assumptions'!D192/1000</f>
        <v>0</v>
      </c>
      <c r="S62" s="16">
        <f>'2-Data Input &amp; Assumptions'!E192/1000</f>
        <v>0</v>
      </c>
      <c r="T62" s="16">
        <f>'2-Data Input &amp; Assumptions'!F192/1000</f>
        <v>0</v>
      </c>
      <c r="U62" s="16">
        <f>'2-Data Input &amp; Assumptions'!G192/1000</f>
        <v>0</v>
      </c>
      <c r="V62" s="16">
        <f>'2-Data Input &amp; Assumptions'!H192/1000</f>
        <v>0</v>
      </c>
      <c r="W62" s="16">
        <f>'2-Data Input &amp; Assumptions'!I192/1000</f>
        <v>0</v>
      </c>
      <c r="X62" s="16">
        <f>'2-Data Input &amp; Assumptions'!J192/1000</f>
        <v>0</v>
      </c>
      <c r="Y62" s="16">
        <f>'2-Data Input &amp; Assumptions'!K192/1000</f>
        <v>0</v>
      </c>
      <c r="Z62" s="16">
        <f>'2-Data Input &amp; Assumptions'!L192/1000</f>
        <v>0</v>
      </c>
      <c r="AA62" s="16">
        <f>'2-Data Input &amp; Assumptions'!M192/1000</f>
        <v>0</v>
      </c>
      <c r="AB62" s="80">
        <f>'2-Data Input &amp; Assumptions'!N192/1000</f>
        <v>11548.502</v>
      </c>
      <c r="AC62" s="16">
        <f>Q62*(1+'2-Data Input &amp; Assumptions'!$G234)</f>
        <v>0</v>
      </c>
      <c r="AD62" s="16">
        <f>R62*(1+'2-Data Input &amp; Assumptions'!$G234)</f>
        <v>0</v>
      </c>
      <c r="AE62" s="16">
        <f>S62*(1+'2-Data Input &amp; Assumptions'!$G234)</f>
        <v>0</v>
      </c>
      <c r="AF62" s="16">
        <f>T62*(1+'2-Data Input &amp; Assumptions'!$G234)</f>
        <v>0</v>
      </c>
      <c r="AG62" s="16">
        <f>U62*(1+'2-Data Input &amp; Assumptions'!$G234)</f>
        <v>0</v>
      </c>
      <c r="AH62" s="16">
        <f>V62*(1+'2-Data Input &amp; Assumptions'!$G234)</f>
        <v>0</v>
      </c>
      <c r="AI62" s="16">
        <f>W62*(1+'2-Data Input &amp; Assumptions'!$G234)</f>
        <v>0</v>
      </c>
      <c r="AJ62" s="16">
        <f>X62*(1+'2-Data Input &amp; Assumptions'!$G234)</f>
        <v>0</v>
      </c>
      <c r="AK62" s="16">
        <f>Y62*(1+'2-Data Input &amp; Assumptions'!$G234)</f>
        <v>0</v>
      </c>
      <c r="AL62" s="16">
        <f>Z62*(1+'2-Data Input &amp; Assumptions'!$G234)</f>
        <v>0</v>
      </c>
      <c r="AM62" s="16">
        <f>AA62*(1+'2-Data Input &amp; Assumptions'!$G234)</f>
        <v>0</v>
      </c>
      <c r="AN62" s="16">
        <f>AB62*(1+'2-Data Input &amp; Assumptions'!$G234)</f>
        <v>11548.502</v>
      </c>
      <c r="AQ62" s="5"/>
      <c r="AR62" s="5"/>
      <c r="AS62" s="5"/>
    </row>
    <row r="63" spans="2:45" x14ac:dyDescent="0.3">
      <c r="B63" s="14"/>
      <c r="D63" s="15" t="str">
        <f>'2-Data Input &amp; Assumptions'!A25</f>
        <v>OTHER NON-RECURRING SOURCES</v>
      </c>
      <c r="E63" s="16">
        <f>'2-Data Input &amp; Assumptions'!C150/1000</f>
        <v>0</v>
      </c>
      <c r="F63" s="16">
        <f>'2-Data Input &amp; Assumptions'!D150/1000</f>
        <v>0</v>
      </c>
      <c r="G63" s="16">
        <f>'2-Data Input &amp; Assumptions'!E150/1000</f>
        <v>0</v>
      </c>
      <c r="H63" s="16">
        <f>'2-Data Input &amp; Assumptions'!F150/1000</f>
        <v>0</v>
      </c>
      <c r="I63" s="16">
        <f>'2-Data Input &amp; Assumptions'!G150/1000</f>
        <v>0</v>
      </c>
      <c r="J63" s="16">
        <f>'2-Data Input &amp; Assumptions'!H150/1000</f>
        <v>0</v>
      </c>
      <c r="K63" s="16">
        <f>'2-Data Input &amp; Assumptions'!I150/1000</f>
        <v>0</v>
      </c>
      <c r="L63" s="16">
        <f>'2-Data Input &amp; Assumptions'!J150/1000</f>
        <v>0</v>
      </c>
      <c r="M63" s="16">
        <f>'2-Data Input &amp; Assumptions'!K150/1000</f>
        <v>0</v>
      </c>
      <c r="N63" s="16">
        <f>'2-Data Input &amp; Assumptions'!L150/1000</f>
        <v>0</v>
      </c>
      <c r="O63" s="16">
        <f>'2-Data Input &amp; Assumptions'!M150/1000</f>
        <v>0</v>
      </c>
      <c r="P63" s="80">
        <f>'2-Data Input &amp; Assumptions'!N150/1000</f>
        <v>0</v>
      </c>
      <c r="Q63" s="16">
        <f>'2-Data Input &amp; Assumptions'!C193/1000</f>
        <v>0</v>
      </c>
      <c r="R63" s="16">
        <f>'2-Data Input &amp; Assumptions'!D193/1000</f>
        <v>0</v>
      </c>
      <c r="S63" s="16">
        <f>'2-Data Input &amp; Assumptions'!E193/1000</f>
        <v>0</v>
      </c>
      <c r="T63" s="16">
        <f>'2-Data Input &amp; Assumptions'!F193/1000</f>
        <v>0</v>
      </c>
      <c r="U63" s="16">
        <f>'2-Data Input &amp; Assumptions'!G193/1000</f>
        <v>0</v>
      </c>
      <c r="V63" s="16">
        <f>'2-Data Input &amp; Assumptions'!H193/1000</f>
        <v>0</v>
      </c>
      <c r="W63" s="16">
        <f>'2-Data Input &amp; Assumptions'!I193/1000</f>
        <v>0</v>
      </c>
      <c r="X63" s="16">
        <f>'2-Data Input &amp; Assumptions'!J193/1000</f>
        <v>0</v>
      </c>
      <c r="Y63" s="16">
        <f>'2-Data Input &amp; Assumptions'!K193/1000</f>
        <v>0</v>
      </c>
      <c r="Z63" s="16">
        <f>'2-Data Input &amp; Assumptions'!L193/1000</f>
        <v>0</v>
      </c>
      <c r="AA63" s="16">
        <f>'2-Data Input &amp; Assumptions'!M193/1000</f>
        <v>0</v>
      </c>
      <c r="AB63" s="80">
        <f>'2-Data Input &amp; Assumptions'!N193/1000</f>
        <v>0</v>
      </c>
      <c r="AC63" s="16">
        <f>Q63*(1+'2-Data Input &amp; Assumptions'!$G235)</f>
        <v>0</v>
      </c>
      <c r="AD63" s="16">
        <f>R63*(1+'2-Data Input &amp; Assumptions'!$G235)</f>
        <v>0</v>
      </c>
      <c r="AE63" s="16">
        <f>S63*(1+'2-Data Input &amp; Assumptions'!$G235)</f>
        <v>0</v>
      </c>
      <c r="AF63" s="16">
        <f>T63*(1+'2-Data Input &amp; Assumptions'!$G235)</f>
        <v>0</v>
      </c>
      <c r="AG63" s="16">
        <f>U63*(1+'2-Data Input &amp; Assumptions'!$G235)</f>
        <v>0</v>
      </c>
      <c r="AH63" s="16">
        <f>V63*(1+'2-Data Input &amp; Assumptions'!$G235)</f>
        <v>0</v>
      </c>
      <c r="AI63" s="16">
        <f>W63*(1+'2-Data Input &amp; Assumptions'!$G235)</f>
        <v>0</v>
      </c>
      <c r="AJ63" s="16">
        <f>X63*(1+'2-Data Input &amp; Assumptions'!$G235)</f>
        <v>0</v>
      </c>
      <c r="AK63" s="16">
        <f>Y63*(1+'2-Data Input &amp; Assumptions'!$G235)</f>
        <v>0</v>
      </c>
      <c r="AL63" s="16">
        <f>Z63*(1+'2-Data Input &amp; Assumptions'!$G235)</f>
        <v>0</v>
      </c>
      <c r="AM63" s="16">
        <f>AA63*(1+'2-Data Input &amp; Assumptions'!$G235)</f>
        <v>0</v>
      </c>
      <c r="AN63" s="16">
        <f>AB63*(1+'2-Data Input &amp; Assumptions'!$G235)</f>
        <v>0</v>
      </c>
      <c r="AQ63" s="5"/>
      <c r="AR63" s="5"/>
      <c r="AS63" s="5"/>
    </row>
    <row r="64" spans="2:45" ht="15" thickBot="1" x14ac:dyDescent="0.35">
      <c r="B64" s="17"/>
      <c r="C64" s="18"/>
      <c r="D64" s="19" t="s">
        <v>4</v>
      </c>
      <c r="E64" s="20">
        <f t="shared" ref="E64:AN64" si="20">SUM(E47:E63)</f>
        <v>46172.302999999993</v>
      </c>
      <c r="F64" s="20">
        <f t="shared" si="20"/>
        <v>43958.087999999996</v>
      </c>
      <c r="G64" s="20">
        <f t="shared" si="20"/>
        <v>28151.247000000003</v>
      </c>
      <c r="H64" s="20">
        <f t="shared" si="20"/>
        <v>136993.61700000003</v>
      </c>
      <c r="I64" s="20">
        <f t="shared" si="20"/>
        <v>183176.21800000002</v>
      </c>
      <c r="J64" s="20">
        <f t="shared" si="20"/>
        <v>88699.588000000018</v>
      </c>
      <c r="K64" s="20">
        <f t="shared" si="20"/>
        <v>35041.089</v>
      </c>
      <c r="L64" s="20">
        <f t="shared" si="20"/>
        <v>33514.455000000002</v>
      </c>
      <c r="M64" s="20">
        <f t="shared" si="20"/>
        <v>71247.05799999999</v>
      </c>
      <c r="N64" s="20">
        <f t="shared" si="20"/>
        <v>218305.36200000002</v>
      </c>
      <c r="O64" s="20">
        <f t="shared" si="20"/>
        <v>76258.753000000012</v>
      </c>
      <c r="P64" s="81">
        <f t="shared" si="20"/>
        <v>29948.078999999998</v>
      </c>
      <c r="Q64" s="20">
        <f t="shared" si="20"/>
        <v>29985.359398265711</v>
      </c>
      <c r="R64" s="20">
        <f t="shared" si="20"/>
        <v>42945.382275923308</v>
      </c>
      <c r="S64" s="20">
        <f t="shared" si="20"/>
        <v>40183.520940201604</v>
      </c>
      <c r="T64" s="20">
        <f t="shared" si="20"/>
        <v>137277.75957263735</v>
      </c>
      <c r="U64" s="20">
        <f t="shared" si="20"/>
        <v>177595.61009977982</v>
      </c>
      <c r="V64" s="20">
        <f t="shared" si="20"/>
        <v>80689.545049128705</v>
      </c>
      <c r="W64" s="20">
        <f t="shared" si="20"/>
        <v>41445.164766825575</v>
      </c>
      <c r="X64" s="20">
        <f t="shared" si="20"/>
        <v>32343.842128982302</v>
      </c>
      <c r="Y64" s="20">
        <f t="shared" si="20"/>
        <v>63207.265981690092</v>
      </c>
      <c r="Z64" s="20">
        <f t="shared" si="20"/>
        <v>210786.61995742455</v>
      </c>
      <c r="AA64" s="20">
        <f t="shared" si="20"/>
        <v>86115.779723207583</v>
      </c>
      <c r="AB64" s="81">
        <f t="shared" si="20"/>
        <v>40088.219245933346</v>
      </c>
      <c r="AC64" s="20">
        <f t="shared" si="20"/>
        <v>30221.362966266821</v>
      </c>
      <c r="AD64" s="20">
        <f t="shared" si="20"/>
        <v>43138.14336538627</v>
      </c>
      <c r="AE64" s="20">
        <f t="shared" si="20"/>
        <v>40593.331782589827</v>
      </c>
      <c r="AF64" s="20">
        <f t="shared" si="20"/>
        <v>141029.86084500875</v>
      </c>
      <c r="AG64" s="20">
        <f t="shared" si="20"/>
        <v>182372.73246788539</v>
      </c>
      <c r="AH64" s="20">
        <f t="shared" si="20"/>
        <v>81047.294399541133</v>
      </c>
      <c r="AI64" s="20">
        <f t="shared" si="20"/>
        <v>41890.22137339136</v>
      </c>
      <c r="AJ64" s="20">
        <f t="shared" si="20"/>
        <v>32663.681351204679</v>
      </c>
      <c r="AK64" s="20">
        <f t="shared" si="20"/>
        <v>64723.842640960502</v>
      </c>
      <c r="AL64" s="20">
        <f t="shared" si="20"/>
        <v>216721.46519231889</v>
      </c>
      <c r="AM64" s="20">
        <f t="shared" si="20"/>
        <v>86472.839940880847</v>
      </c>
      <c r="AN64" s="20">
        <f t="shared" si="20"/>
        <v>40406.275332765566</v>
      </c>
      <c r="AP64" s="5"/>
      <c r="AQ64" s="26"/>
      <c r="AR64" s="26"/>
      <c r="AS64" s="26"/>
    </row>
    <row r="65" spans="2:45" x14ac:dyDescent="0.3">
      <c r="B65" s="21"/>
      <c r="C65" s="11"/>
      <c r="D65" s="12" t="str">
        <f>'2-Data Input &amp; Assumptions'!A28</f>
        <v>SALARIES &amp; WAGES</v>
      </c>
      <c r="E65" s="13">
        <f>'2-Data Input &amp; Assumptions'!C153/1000</f>
        <v>9058.5969999999998</v>
      </c>
      <c r="F65" s="13">
        <f>'2-Data Input &amp; Assumptions'!D153/1000</f>
        <v>8998.1980000000003</v>
      </c>
      <c r="G65" s="13">
        <f>'2-Data Input &amp; Assumptions'!E153/1000</f>
        <v>8915.491</v>
      </c>
      <c r="H65" s="13">
        <f>'2-Data Input &amp; Assumptions'!F153/1000</f>
        <v>8915</v>
      </c>
      <c r="I65" s="13">
        <f>'2-Data Input &amp; Assumptions'!G153/1000</f>
        <v>13372.5</v>
      </c>
      <c r="J65" s="13">
        <f>'2-Data Input &amp; Assumptions'!H153/1000</f>
        <v>8915</v>
      </c>
      <c r="K65" s="13">
        <f>'2-Data Input &amp; Assumptions'!I153/1000</f>
        <v>8915</v>
      </c>
      <c r="L65" s="13">
        <f>'2-Data Input &amp; Assumptions'!J153/1000</f>
        <v>8915</v>
      </c>
      <c r="M65" s="13">
        <f>'2-Data Input &amp; Assumptions'!K153/1000</f>
        <v>8915</v>
      </c>
      <c r="N65" s="13">
        <f>'2-Data Input &amp; Assumptions'!L153/1000</f>
        <v>13372.5</v>
      </c>
      <c r="O65" s="13">
        <f>'2-Data Input &amp; Assumptions'!M153/1000</f>
        <v>8915</v>
      </c>
      <c r="P65" s="79">
        <f>'2-Data Input &amp; Assumptions'!N153/1000</f>
        <v>8915</v>
      </c>
      <c r="Q65" s="16">
        <f>'2-Data Input &amp; Assumptions'!C196/1000</f>
        <v>9328.2000000000007</v>
      </c>
      <c r="R65" s="16">
        <f>'2-Data Input &amp; Assumptions'!D196/1000</f>
        <v>9328.2000000000007</v>
      </c>
      <c r="S65" s="16">
        <f>'2-Data Input &amp; Assumptions'!E196/1000</f>
        <v>9328.2000000000007</v>
      </c>
      <c r="T65" s="16">
        <f>'2-Data Input &amp; Assumptions'!F196/1000</f>
        <v>9328.2000000000007</v>
      </c>
      <c r="U65" s="16">
        <f>'2-Data Input &amp; Assumptions'!G196/1000</f>
        <v>13992.3</v>
      </c>
      <c r="V65" s="16">
        <f>'2-Data Input &amp; Assumptions'!H196/1000</f>
        <v>9328.2000000000007</v>
      </c>
      <c r="W65" s="16">
        <f>'2-Data Input &amp; Assumptions'!I196/1000</f>
        <v>9328.2000000000007</v>
      </c>
      <c r="X65" s="16">
        <f>'2-Data Input &amp; Assumptions'!J196/1000</f>
        <v>9328.2000000000007</v>
      </c>
      <c r="Y65" s="16">
        <f>'2-Data Input &amp; Assumptions'!K196/1000</f>
        <v>9328.2000000000007</v>
      </c>
      <c r="Z65" s="16">
        <f>'2-Data Input &amp; Assumptions'!L196/1000</f>
        <v>13992.3</v>
      </c>
      <c r="AA65" s="16">
        <f>'2-Data Input &amp; Assumptions'!M196/1000</f>
        <v>9328.2000000000007</v>
      </c>
      <c r="AB65" s="80">
        <f>'2-Data Input &amp; Assumptions'!N196/1000</f>
        <v>9328.2000000000007</v>
      </c>
      <c r="AC65" s="16">
        <f>Q65*(1+'2-Data Input &amp; Assumptions'!$G238)</f>
        <v>9794.61</v>
      </c>
      <c r="AD65" s="16">
        <f>R65*(1+'2-Data Input &amp; Assumptions'!$G238)</f>
        <v>9794.61</v>
      </c>
      <c r="AE65" s="16">
        <f>S65*(1+'2-Data Input &amp; Assumptions'!$G238)</f>
        <v>9794.61</v>
      </c>
      <c r="AF65" s="16">
        <f>T65*(1+'2-Data Input &amp; Assumptions'!$G238)</f>
        <v>9794.61</v>
      </c>
      <c r="AG65" s="16">
        <f>U65*(1+'2-Data Input &amp; Assumptions'!$G238)</f>
        <v>14691.914999999999</v>
      </c>
      <c r="AH65" s="16">
        <f>V65*(1+'2-Data Input &amp; Assumptions'!$G238)</f>
        <v>9794.61</v>
      </c>
      <c r="AI65" s="16">
        <f>W65*(1+'2-Data Input &amp; Assumptions'!$G238)</f>
        <v>9794.61</v>
      </c>
      <c r="AJ65" s="16">
        <f>X65*(1+'2-Data Input &amp; Assumptions'!$G238)</f>
        <v>9794.61</v>
      </c>
      <c r="AK65" s="16">
        <f>Y65*(1+'2-Data Input &amp; Assumptions'!$G238)</f>
        <v>9794.61</v>
      </c>
      <c r="AL65" s="16">
        <f>Z65*(1+'2-Data Input &amp; Assumptions'!$G238)</f>
        <v>14691.914999999999</v>
      </c>
      <c r="AM65" s="16">
        <f>AA65*(1+'2-Data Input &amp; Assumptions'!$G238)</f>
        <v>9794.61</v>
      </c>
      <c r="AN65" s="16">
        <f>AB65*(1+'2-Data Input &amp; Assumptions'!$G238)</f>
        <v>9794.61</v>
      </c>
      <c r="AQ65" s="26"/>
      <c r="AR65" s="26"/>
      <c r="AS65" s="26"/>
    </row>
    <row r="66" spans="2:45" x14ac:dyDescent="0.3">
      <c r="B66" s="22"/>
      <c r="D66" s="15" t="str">
        <f>'2-Data Input &amp; Assumptions'!A29</f>
        <v>BENEFITS</v>
      </c>
      <c r="E66" s="16">
        <f>'2-Data Input &amp; Assumptions'!C154/1000</f>
        <v>1852.7650000000001</v>
      </c>
      <c r="F66" s="16">
        <f>'2-Data Input &amp; Assumptions'!D154/1000</f>
        <v>1948.5119999999999</v>
      </c>
      <c r="G66" s="16">
        <f>'2-Data Input &amp; Assumptions'!E154/1000</f>
        <v>1888.644</v>
      </c>
      <c r="H66" s="16">
        <f>'2-Data Input &amp; Assumptions'!F154/1000</f>
        <v>1889</v>
      </c>
      <c r="I66" s="16">
        <f>'2-Data Input &amp; Assumptions'!G154/1000</f>
        <v>2833.5</v>
      </c>
      <c r="J66" s="16">
        <f>'2-Data Input &amp; Assumptions'!H154/1000</f>
        <v>1889</v>
      </c>
      <c r="K66" s="16">
        <f>'2-Data Input &amp; Assumptions'!I154/1000</f>
        <v>1889</v>
      </c>
      <c r="L66" s="16">
        <f>'2-Data Input &amp; Assumptions'!J154/1000</f>
        <v>1889</v>
      </c>
      <c r="M66" s="16">
        <f>'2-Data Input &amp; Assumptions'!K154/1000</f>
        <v>1889</v>
      </c>
      <c r="N66" s="16">
        <f>'2-Data Input &amp; Assumptions'!L154/1000</f>
        <v>2833.5</v>
      </c>
      <c r="O66" s="16">
        <f>'2-Data Input &amp; Assumptions'!M154/1000</f>
        <v>1889</v>
      </c>
      <c r="P66" s="80">
        <f>'2-Data Input &amp; Assumptions'!N154/1000</f>
        <v>1889</v>
      </c>
      <c r="Q66" s="16">
        <f>'2-Data Input &amp; Assumptions'!C197/1000</f>
        <v>1915.2</v>
      </c>
      <c r="R66" s="16">
        <f>'2-Data Input &amp; Assumptions'!D197/1000</f>
        <v>1915.2</v>
      </c>
      <c r="S66" s="16">
        <f>'2-Data Input &amp; Assumptions'!E197/1000</f>
        <v>1915.2</v>
      </c>
      <c r="T66" s="16">
        <f>'2-Data Input &amp; Assumptions'!F197/1000</f>
        <v>1915.2</v>
      </c>
      <c r="U66" s="16">
        <f>'2-Data Input &amp; Assumptions'!G197/1000</f>
        <v>2872.8</v>
      </c>
      <c r="V66" s="16">
        <f>'2-Data Input &amp; Assumptions'!H197/1000</f>
        <v>1915.2</v>
      </c>
      <c r="W66" s="16">
        <f>'2-Data Input &amp; Assumptions'!I197/1000</f>
        <v>1915.2</v>
      </c>
      <c r="X66" s="16">
        <f>'2-Data Input &amp; Assumptions'!J197/1000</f>
        <v>1915.2</v>
      </c>
      <c r="Y66" s="16">
        <f>'2-Data Input &amp; Assumptions'!K197/1000</f>
        <v>1915.2</v>
      </c>
      <c r="Z66" s="16">
        <f>'2-Data Input &amp; Assumptions'!L197/1000</f>
        <v>2872.8</v>
      </c>
      <c r="AA66" s="16">
        <f>'2-Data Input &amp; Assumptions'!M197/1000</f>
        <v>1915.2</v>
      </c>
      <c r="AB66" s="80">
        <f>'2-Data Input &amp; Assumptions'!N197/1000</f>
        <v>1915.2</v>
      </c>
      <c r="AC66" s="16">
        <f>Q66*(1+'2-Data Input &amp; Assumptions'!$G239)</f>
        <v>2010.96</v>
      </c>
      <c r="AD66" s="16">
        <f>R66*(1+'2-Data Input &amp; Assumptions'!$G239)</f>
        <v>2010.96</v>
      </c>
      <c r="AE66" s="16">
        <f>S66*(1+'2-Data Input &amp; Assumptions'!$G239)</f>
        <v>2010.96</v>
      </c>
      <c r="AF66" s="16">
        <f>T66*(1+'2-Data Input &amp; Assumptions'!$G239)</f>
        <v>2010.96</v>
      </c>
      <c r="AG66" s="16">
        <f>U66*(1+'2-Data Input &amp; Assumptions'!$G239)</f>
        <v>3016.4400000000005</v>
      </c>
      <c r="AH66" s="16">
        <f>V66*(1+'2-Data Input &amp; Assumptions'!$G239)</f>
        <v>2010.96</v>
      </c>
      <c r="AI66" s="16">
        <f>W66*(1+'2-Data Input &amp; Assumptions'!$G239)</f>
        <v>2010.96</v>
      </c>
      <c r="AJ66" s="16">
        <f>X66*(1+'2-Data Input &amp; Assumptions'!$G239)</f>
        <v>2010.96</v>
      </c>
      <c r="AK66" s="16">
        <f>Y66*(1+'2-Data Input &amp; Assumptions'!$G239)</f>
        <v>2010.96</v>
      </c>
      <c r="AL66" s="16">
        <f>Z66*(1+'2-Data Input &amp; Assumptions'!$G239)</f>
        <v>3016.4400000000005</v>
      </c>
      <c r="AM66" s="16">
        <f>AA66*(1+'2-Data Input &amp; Assumptions'!$G239)</f>
        <v>2010.96</v>
      </c>
      <c r="AN66" s="16">
        <f>AB66*(1+'2-Data Input &amp; Assumptions'!$G239)</f>
        <v>2010.96</v>
      </c>
      <c r="AQ66" s="26"/>
      <c r="AR66" s="26"/>
      <c r="AS66" s="26"/>
    </row>
    <row r="67" spans="2:45" x14ac:dyDescent="0.3">
      <c r="B67" s="22"/>
      <c r="D67" s="15" t="str">
        <f>'2-Data Input &amp; Assumptions'!A30</f>
        <v>CONTRACTUAL SERVICES</v>
      </c>
      <c r="E67" s="16">
        <f>'2-Data Input &amp; Assumptions'!C155/1000</f>
        <v>19274.994999999999</v>
      </c>
      <c r="F67" s="16">
        <f>'2-Data Input &amp; Assumptions'!D155/1000</f>
        <v>19291.907999999999</v>
      </c>
      <c r="G67" s="16">
        <f>'2-Data Input &amp; Assumptions'!E155/1000</f>
        <v>16940.376</v>
      </c>
      <c r="H67" s="16">
        <f>'2-Data Input &amp; Assumptions'!F155/1000</f>
        <v>19964.599999999999</v>
      </c>
      <c r="I67" s="16">
        <f>'2-Data Input &amp; Assumptions'!G155/1000</f>
        <v>17907.400000000001</v>
      </c>
      <c r="J67" s="16">
        <f>'2-Data Input &amp; Assumptions'!H155/1000</f>
        <v>17838</v>
      </c>
      <c r="K67" s="16">
        <f>'2-Data Input &amp; Assumptions'!I155/1000</f>
        <v>27897.5</v>
      </c>
      <c r="L67" s="16">
        <f>'2-Data Input &amp; Assumptions'!J155/1000</f>
        <v>24658.6</v>
      </c>
      <c r="M67" s="16">
        <f>'2-Data Input &amp; Assumptions'!K155/1000</f>
        <v>26192.7</v>
      </c>
      <c r="N67" s="16">
        <f>'2-Data Input &amp; Assumptions'!L155/1000</f>
        <v>23749.3</v>
      </c>
      <c r="O67" s="16">
        <f>'2-Data Input &amp; Assumptions'!M155/1000</f>
        <v>17204.3</v>
      </c>
      <c r="P67" s="80">
        <f>'2-Data Input &amp; Assumptions'!N155/1000</f>
        <v>14488.8</v>
      </c>
      <c r="Q67" s="16">
        <f>'2-Data Input &amp; Assumptions'!C198/1000</f>
        <v>23731.636673070552</v>
      </c>
      <c r="R67" s="16">
        <f>'2-Data Input &amp; Assumptions'!D198/1000</f>
        <v>16527.569300072933</v>
      </c>
      <c r="S67" s="16">
        <f>'2-Data Input &amp; Assumptions'!E198/1000</f>
        <v>18402.467172665078</v>
      </c>
      <c r="T67" s="16">
        <f>'2-Data Input &amp; Assumptions'!F198/1000</f>
        <v>20240.386221541707</v>
      </c>
      <c r="U67" s="16">
        <f>'2-Data Input &amp; Assumptions'!G198/1000</f>
        <v>18550.136311541355</v>
      </c>
      <c r="V67" s="16">
        <f>'2-Data Input &amp; Assumptions'!H198/1000</f>
        <v>18735.821606973816</v>
      </c>
      <c r="W67" s="16">
        <f>'2-Data Input &amp; Assumptions'!I198/1000</f>
        <v>24567.173770916666</v>
      </c>
      <c r="X67" s="16">
        <f>'2-Data Input &amp; Assumptions'!J198/1000</f>
        <v>25341.735911865628</v>
      </c>
      <c r="Y67" s="16">
        <f>'2-Data Input &amp; Assumptions'!K198/1000</f>
        <v>22921.035230921276</v>
      </c>
      <c r="Z67" s="16">
        <f>'2-Data Input &amp; Assumptions'!L198/1000</f>
        <v>22329.338187687095</v>
      </c>
      <c r="AA67" s="16">
        <f>'2-Data Input &amp; Assumptions'!M198/1000</f>
        <v>18956.301838910349</v>
      </c>
      <c r="AB67" s="80">
        <f>'2-Data Input &amp; Assumptions'!N198/1000</f>
        <v>14487.874613833552</v>
      </c>
      <c r="AC67" s="16">
        <f>Q67*(1+'2-Data Input &amp; Assumptions'!$G240)</f>
        <v>24443.585773262668</v>
      </c>
      <c r="AD67" s="16">
        <f>R67*(1+'2-Data Input &amp; Assumptions'!$G240)</f>
        <v>17023.396379075122</v>
      </c>
      <c r="AE67" s="16">
        <f>S67*(1+'2-Data Input &amp; Assumptions'!$G240)</f>
        <v>18954.541187845032</v>
      </c>
      <c r="AF67" s="16">
        <f>T67*(1+'2-Data Input &amp; Assumptions'!$G240)</f>
        <v>20847.597808187958</v>
      </c>
      <c r="AG67" s="16">
        <f>U67*(1+'2-Data Input &amp; Assumptions'!$G240)</f>
        <v>19106.640400887598</v>
      </c>
      <c r="AH67" s="16">
        <f>V67*(1+'2-Data Input &amp; Assumptions'!$G240)</f>
        <v>19297.89625518303</v>
      </c>
      <c r="AI67" s="16">
        <f>W67*(1+'2-Data Input &amp; Assumptions'!$G240)</f>
        <v>25304.188984044165</v>
      </c>
      <c r="AJ67" s="16">
        <f>X67*(1+'2-Data Input &amp; Assumptions'!$G240)</f>
        <v>26101.987989221598</v>
      </c>
      <c r="AK67" s="16">
        <f>Y67*(1+'2-Data Input &amp; Assumptions'!$G240)</f>
        <v>23608.666287848915</v>
      </c>
      <c r="AL67" s="16">
        <f>Z67*(1+'2-Data Input &amp; Assumptions'!$G240)</f>
        <v>22999.218333317709</v>
      </c>
      <c r="AM67" s="16">
        <f>AA67*(1+'2-Data Input &amp; Assumptions'!$G240)</f>
        <v>19524.990894077659</v>
      </c>
      <c r="AN67" s="16">
        <f>AB67*(1+'2-Data Input &amp; Assumptions'!$G240)</f>
        <v>14922.510852248559</v>
      </c>
    </row>
    <row r="68" spans="2:45" x14ac:dyDescent="0.3">
      <c r="B68" s="22"/>
      <c r="D68" s="15" t="str">
        <f>'2-Data Input &amp; Assumptions'!A31</f>
        <v>UTILITIES</v>
      </c>
      <c r="E68" s="16">
        <f>'2-Data Input &amp; Assumptions'!C156/1000</f>
        <v>0</v>
      </c>
      <c r="F68" s="16">
        <f>'2-Data Input &amp; Assumptions'!D156/1000</f>
        <v>0</v>
      </c>
      <c r="G68" s="16">
        <f>'2-Data Input &amp; Assumptions'!E156/1000</f>
        <v>0</v>
      </c>
      <c r="H68" s="16">
        <f>'2-Data Input &amp; Assumptions'!F156/1000</f>
        <v>0</v>
      </c>
      <c r="I68" s="16">
        <f>'2-Data Input &amp; Assumptions'!G156/1000</f>
        <v>0</v>
      </c>
      <c r="J68" s="16">
        <f>'2-Data Input &amp; Assumptions'!H156/1000</f>
        <v>0</v>
      </c>
      <c r="K68" s="16">
        <f>'2-Data Input &amp; Assumptions'!I156/1000</f>
        <v>0</v>
      </c>
      <c r="L68" s="16">
        <f>'2-Data Input &amp; Assumptions'!J156/1000</f>
        <v>0</v>
      </c>
      <c r="M68" s="16">
        <f>'2-Data Input &amp; Assumptions'!K156/1000</f>
        <v>0</v>
      </c>
      <c r="N68" s="16">
        <f>'2-Data Input &amp; Assumptions'!L156/1000</f>
        <v>0</v>
      </c>
      <c r="O68" s="16">
        <f>'2-Data Input &amp; Assumptions'!M156/1000</f>
        <v>0</v>
      </c>
      <c r="P68" s="80">
        <f>'2-Data Input &amp; Assumptions'!N156/1000</f>
        <v>0</v>
      </c>
      <c r="Q68" s="16">
        <f>'2-Data Input &amp; Assumptions'!C199/1000</f>
        <v>0</v>
      </c>
      <c r="R68" s="16">
        <f>'2-Data Input &amp; Assumptions'!D199/1000</f>
        <v>0</v>
      </c>
      <c r="S68" s="16">
        <f>'2-Data Input &amp; Assumptions'!E199/1000</f>
        <v>0</v>
      </c>
      <c r="T68" s="16">
        <f>'2-Data Input &amp; Assumptions'!F199/1000</f>
        <v>0</v>
      </c>
      <c r="U68" s="16">
        <f>'2-Data Input &amp; Assumptions'!G199/1000</f>
        <v>0</v>
      </c>
      <c r="V68" s="16">
        <f>'2-Data Input &amp; Assumptions'!H199/1000</f>
        <v>0</v>
      </c>
      <c r="W68" s="16">
        <f>'2-Data Input &amp; Assumptions'!I199/1000</f>
        <v>0</v>
      </c>
      <c r="X68" s="16">
        <f>'2-Data Input &amp; Assumptions'!J199/1000</f>
        <v>0</v>
      </c>
      <c r="Y68" s="16">
        <f>'2-Data Input &amp; Assumptions'!K199/1000</f>
        <v>0</v>
      </c>
      <c r="Z68" s="16">
        <f>'2-Data Input &amp; Assumptions'!L199/1000</f>
        <v>0</v>
      </c>
      <c r="AA68" s="16">
        <f>'2-Data Input &amp; Assumptions'!M199/1000</f>
        <v>0</v>
      </c>
      <c r="AB68" s="80">
        <f>'2-Data Input &amp; Assumptions'!N199/1000</f>
        <v>0</v>
      </c>
      <c r="AC68" s="16">
        <f>Q68*(1+'2-Data Input &amp; Assumptions'!$G241)</f>
        <v>0</v>
      </c>
      <c r="AD68" s="16">
        <f>R68*(1+'2-Data Input &amp; Assumptions'!$G241)</f>
        <v>0</v>
      </c>
      <c r="AE68" s="16">
        <f>S68*(1+'2-Data Input &amp; Assumptions'!$G241)</f>
        <v>0</v>
      </c>
      <c r="AF68" s="16">
        <f>T68*(1+'2-Data Input &amp; Assumptions'!$G241)</f>
        <v>0</v>
      </c>
      <c r="AG68" s="16">
        <f>U68*(1+'2-Data Input &amp; Assumptions'!$G241)</f>
        <v>0</v>
      </c>
      <c r="AH68" s="16">
        <f>V68*(1+'2-Data Input &amp; Assumptions'!$G241)</f>
        <v>0</v>
      </c>
      <c r="AI68" s="16">
        <f>W68*(1+'2-Data Input &amp; Assumptions'!$G241)</f>
        <v>0</v>
      </c>
      <c r="AJ68" s="16">
        <f>X68*(1+'2-Data Input &amp; Assumptions'!$G241)</f>
        <v>0</v>
      </c>
      <c r="AK68" s="16">
        <f>Y68*(1+'2-Data Input &amp; Assumptions'!$G241)</f>
        <v>0</v>
      </c>
      <c r="AL68" s="16">
        <f>Z68*(1+'2-Data Input &amp; Assumptions'!$G241)</f>
        <v>0</v>
      </c>
      <c r="AM68" s="16">
        <f>AA68*(1+'2-Data Input &amp; Assumptions'!$G241)</f>
        <v>0</v>
      </c>
      <c r="AN68" s="16">
        <f>AB68*(1+'2-Data Input &amp; Assumptions'!$G241)</f>
        <v>0</v>
      </c>
    </row>
    <row r="69" spans="2:45" x14ac:dyDescent="0.3">
      <c r="B69" s="22"/>
      <c r="D69" s="15" t="str">
        <f>'2-Data Input &amp; Assumptions'!A32</f>
        <v>MAINTENANCE AND REPAIRS</v>
      </c>
      <c r="E69" s="16">
        <f>'2-Data Input &amp; Assumptions'!C157/1000</f>
        <v>0</v>
      </c>
      <c r="F69" s="16">
        <f>'2-Data Input &amp; Assumptions'!D157/1000</f>
        <v>0</v>
      </c>
      <c r="G69" s="16">
        <f>'2-Data Input &amp; Assumptions'!E157/1000</f>
        <v>0</v>
      </c>
      <c r="H69" s="16">
        <f>'2-Data Input &amp; Assumptions'!F157/1000</f>
        <v>0</v>
      </c>
      <c r="I69" s="16">
        <f>'2-Data Input &amp; Assumptions'!G157/1000</f>
        <v>0</v>
      </c>
      <c r="J69" s="16">
        <f>'2-Data Input &amp; Assumptions'!H157/1000</f>
        <v>0</v>
      </c>
      <c r="K69" s="16">
        <f>'2-Data Input &amp; Assumptions'!I157/1000</f>
        <v>0</v>
      </c>
      <c r="L69" s="16">
        <f>'2-Data Input &amp; Assumptions'!J157/1000</f>
        <v>0</v>
      </c>
      <c r="M69" s="16">
        <f>'2-Data Input &amp; Assumptions'!K157/1000</f>
        <v>0</v>
      </c>
      <c r="N69" s="16">
        <f>'2-Data Input &amp; Assumptions'!L157/1000</f>
        <v>0</v>
      </c>
      <c r="O69" s="16">
        <f>'2-Data Input &amp; Assumptions'!M157/1000</f>
        <v>0</v>
      </c>
      <c r="P69" s="80">
        <f>'2-Data Input &amp; Assumptions'!N157/1000</f>
        <v>0</v>
      </c>
      <c r="Q69" s="16">
        <f>'2-Data Input &amp; Assumptions'!C200/1000</f>
        <v>0</v>
      </c>
      <c r="R69" s="16">
        <f>'2-Data Input &amp; Assumptions'!D200/1000</f>
        <v>0</v>
      </c>
      <c r="S69" s="16">
        <f>'2-Data Input &amp; Assumptions'!E200/1000</f>
        <v>0</v>
      </c>
      <c r="T69" s="16">
        <f>'2-Data Input &amp; Assumptions'!F200/1000</f>
        <v>0</v>
      </c>
      <c r="U69" s="16">
        <f>'2-Data Input &amp; Assumptions'!G200/1000</f>
        <v>0</v>
      </c>
      <c r="V69" s="16">
        <f>'2-Data Input &amp; Assumptions'!H200/1000</f>
        <v>0</v>
      </c>
      <c r="W69" s="16">
        <f>'2-Data Input &amp; Assumptions'!I200/1000</f>
        <v>0</v>
      </c>
      <c r="X69" s="16">
        <f>'2-Data Input &amp; Assumptions'!J200/1000</f>
        <v>0</v>
      </c>
      <c r="Y69" s="16">
        <f>'2-Data Input &amp; Assumptions'!K200/1000</f>
        <v>0</v>
      </c>
      <c r="Z69" s="16">
        <f>'2-Data Input &amp; Assumptions'!L200/1000</f>
        <v>0</v>
      </c>
      <c r="AA69" s="16">
        <f>'2-Data Input &amp; Assumptions'!M200/1000</f>
        <v>0</v>
      </c>
      <c r="AB69" s="80">
        <f>'2-Data Input &amp; Assumptions'!N200/1000</f>
        <v>0</v>
      </c>
      <c r="AC69" s="16">
        <f>Q69*(1+'2-Data Input &amp; Assumptions'!$G242)</f>
        <v>0</v>
      </c>
      <c r="AD69" s="16">
        <f>R69*(1+'2-Data Input &amp; Assumptions'!$G242)</f>
        <v>0</v>
      </c>
      <c r="AE69" s="16">
        <f>S69*(1+'2-Data Input &amp; Assumptions'!$G242)</f>
        <v>0</v>
      </c>
      <c r="AF69" s="16">
        <f>T69*(1+'2-Data Input &amp; Assumptions'!$G242)</f>
        <v>0</v>
      </c>
      <c r="AG69" s="16">
        <f>U69*(1+'2-Data Input &amp; Assumptions'!$G242)</f>
        <v>0</v>
      </c>
      <c r="AH69" s="16">
        <f>V69*(1+'2-Data Input &amp; Assumptions'!$G242)</f>
        <v>0</v>
      </c>
      <c r="AI69" s="16">
        <f>W69*(1+'2-Data Input &amp; Assumptions'!$G242)</f>
        <v>0</v>
      </c>
      <c r="AJ69" s="16">
        <f>X69*(1+'2-Data Input &amp; Assumptions'!$G242)</f>
        <v>0</v>
      </c>
      <c r="AK69" s="16">
        <f>Y69*(1+'2-Data Input &amp; Assumptions'!$G242)</f>
        <v>0</v>
      </c>
      <c r="AL69" s="16">
        <f>Z69*(1+'2-Data Input &amp; Assumptions'!$G242)</f>
        <v>0</v>
      </c>
      <c r="AM69" s="16">
        <f>AA69*(1+'2-Data Input &amp; Assumptions'!$G242)</f>
        <v>0</v>
      </c>
      <c r="AN69" s="16">
        <f>AB69*(1+'2-Data Input &amp; Assumptions'!$G242)</f>
        <v>0</v>
      </c>
    </row>
    <row r="70" spans="2:45" x14ac:dyDescent="0.3">
      <c r="B70" s="22"/>
      <c r="D70" s="15" t="str">
        <f>'2-Data Input &amp; Assumptions'!A33</f>
        <v>FISCAL DISPARITIES</v>
      </c>
      <c r="E70" s="16">
        <f>'2-Data Input &amp; Assumptions'!C158/1000</f>
        <v>0</v>
      </c>
      <c r="F70" s="16">
        <f>'2-Data Input &amp; Assumptions'!D158/1000</f>
        <v>0</v>
      </c>
      <c r="G70" s="16">
        <f>'2-Data Input &amp; Assumptions'!E158/1000</f>
        <v>0</v>
      </c>
      <c r="H70" s="16">
        <f>'2-Data Input &amp; Assumptions'!F158/1000</f>
        <v>0</v>
      </c>
      <c r="I70" s="16">
        <f>'2-Data Input &amp; Assumptions'!G158/1000</f>
        <v>0</v>
      </c>
      <c r="J70" s="16">
        <f>'2-Data Input &amp; Assumptions'!H158/1000</f>
        <v>34605.800000000003</v>
      </c>
      <c r="K70" s="16">
        <f>'2-Data Input &amp; Assumptions'!I158/1000</f>
        <v>0</v>
      </c>
      <c r="L70" s="16">
        <f>'2-Data Input &amp; Assumptions'!J158/1000</f>
        <v>0</v>
      </c>
      <c r="M70" s="16">
        <f>'2-Data Input &amp; Assumptions'!K158/1000</f>
        <v>0</v>
      </c>
      <c r="N70" s="16">
        <f>'2-Data Input &amp; Assumptions'!L158/1000</f>
        <v>0</v>
      </c>
      <c r="O70" s="16">
        <f>'2-Data Input &amp; Assumptions'!M158/1000</f>
        <v>34605.800000000003</v>
      </c>
      <c r="P70" s="80">
        <f>'2-Data Input &amp; Assumptions'!N158/1000</f>
        <v>0</v>
      </c>
      <c r="Q70" s="16">
        <f>'2-Data Input &amp; Assumptions'!C201/1000</f>
        <v>0</v>
      </c>
      <c r="R70" s="16">
        <f>'2-Data Input &amp; Assumptions'!D201/1000</f>
        <v>0</v>
      </c>
      <c r="S70" s="16">
        <f>'2-Data Input &amp; Assumptions'!E201/1000</f>
        <v>0</v>
      </c>
      <c r="T70" s="16">
        <f>'2-Data Input &amp; Assumptions'!F201/1000</f>
        <v>0</v>
      </c>
      <c r="U70" s="16">
        <f>'2-Data Input &amp; Assumptions'!G201/1000</f>
        <v>0</v>
      </c>
      <c r="V70" s="16">
        <f>'2-Data Input &amp; Assumptions'!H201/1000</f>
        <v>34143.531135839818</v>
      </c>
      <c r="W70" s="16">
        <f>'2-Data Input &amp; Assumptions'!I201/1000</f>
        <v>847.642364160184</v>
      </c>
      <c r="X70" s="16">
        <f>'2-Data Input &amp; Assumptions'!J201/1000</f>
        <v>0</v>
      </c>
      <c r="Y70" s="16">
        <f>'2-Data Input &amp; Assumptions'!K201/1000</f>
        <v>0</v>
      </c>
      <c r="Z70" s="16">
        <f>'2-Data Input &amp; Assumptions'!L201/1000</f>
        <v>0</v>
      </c>
      <c r="AA70" s="16">
        <f>'2-Data Input &amp; Assumptions'!M201/1000</f>
        <v>34991.173499999997</v>
      </c>
      <c r="AB70" s="80">
        <f>'2-Data Input &amp; Assumptions'!N201/1000</f>
        <v>0</v>
      </c>
      <c r="AC70" s="16">
        <f>Q70*(1+'2-Data Input &amp; Assumptions'!$G243)</f>
        <v>0</v>
      </c>
      <c r="AD70" s="16">
        <f>R70*(1+'2-Data Input &amp; Assumptions'!$G243)</f>
        <v>0</v>
      </c>
      <c r="AE70" s="16">
        <f>S70*(1+'2-Data Input &amp; Assumptions'!$G243)</f>
        <v>0</v>
      </c>
      <c r="AF70" s="16">
        <f>T70*(1+'2-Data Input &amp; Assumptions'!$G243)</f>
        <v>0</v>
      </c>
      <c r="AG70" s="16">
        <f>U70*(1+'2-Data Input &amp; Assumptions'!$G243)</f>
        <v>0</v>
      </c>
      <c r="AH70" s="16">
        <f>V70*(1+'2-Data Input &amp; Assumptions'!$G243)</f>
        <v>34143.531135839818</v>
      </c>
      <c r="AI70" s="16">
        <f>W70*(1+'2-Data Input &amp; Assumptions'!$G243)</f>
        <v>847.642364160184</v>
      </c>
      <c r="AJ70" s="16">
        <f>X70*(1+'2-Data Input &amp; Assumptions'!$G243)</f>
        <v>0</v>
      </c>
      <c r="AK70" s="16">
        <f>Y70*(1+'2-Data Input &amp; Assumptions'!$G243)</f>
        <v>0</v>
      </c>
      <c r="AL70" s="16">
        <f>Z70*(1+'2-Data Input &amp; Assumptions'!$G243)</f>
        <v>0</v>
      </c>
      <c r="AM70" s="16">
        <f>AA70*(1+'2-Data Input &amp; Assumptions'!$G243)</f>
        <v>34991.173499999997</v>
      </c>
      <c r="AN70" s="16">
        <f>AB70*(1+'2-Data Input &amp; Assumptions'!$G243)</f>
        <v>0</v>
      </c>
    </row>
    <row r="71" spans="2:45" x14ac:dyDescent="0.3">
      <c r="B71" s="22"/>
      <c r="D71" s="15" t="str">
        <f>'2-Data Input &amp; Assumptions'!A34</f>
        <v>CAPITAL</v>
      </c>
      <c r="E71" s="16">
        <f>'2-Data Input &amp; Assumptions'!C159/1000</f>
        <v>0</v>
      </c>
      <c r="F71" s="16">
        <f>'2-Data Input &amp; Assumptions'!D159/1000</f>
        <v>0</v>
      </c>
      <c r="G71" s="16">
        <f>'2-Data Input &amp; Assumptions'!E159/1000</f>
        <v>0</v>
      </c>
      <c r="H71" s="16">
        <f>'2-Data Input &amp; Assumptions'!F159/1000</f>
        <v>0</v>
      </c>
      <c r="I71" s="16">
        <f>'2-Data Input &amp; Assumptions'!G159/1000</f>
        <v>0</v>
      </c>
      <c r="J71" s="16">
        <f>'2-Data Input &amp; Assumptions'!H159/1000</f>
        <v>0</v>
      </c>
      <c r="K71" s="16">
        <f>'2-Data Input &amp; Assumptions'!I159/1000</f>
        <v>0</v>
      </c>
      <c r="L71" s="16">
        <f>'2-Data Input &amp; Assumptions'!J159/1000</f>
        <v>0</v>
      </c>
      <c r="M71" s="16">
        <f>'2-Data Input &amp; Assumptions'!K159/1000</f>
        <v>0</v>
      </c>
      <c r="N71" s="16">
        <f>'2-Data Input &amp; Assumptions'!L159/1000</f>
        <v>0</v>
      </c>
      <c r="O71" s="16">
        <f>'2-Data Input &amp; Assumptions'!M159/1000</f>
        <v>0</v>
      </c>
      <c r="P71" s="80">
        <f>'2-Data Input &amp; Assumptions'!N159/1000</f>
        <v>0</v>
      </c>
      <c r="Q71" s="16">
        <f>'2-Data Input &amp; Assumptions'!C202/1000</f>
        <v>0</v>
      </c>
      <c r="R71" s="16">
        <f>'2-Data Input &amp; Assumptions'!D202/1000</f>
        <v>0</v>
      </c>
      <c r="S71" s="16">
        <f>'2-Data Input &amp; Assumptions'!E202/1000</f>
        <v>0</v>
      </c>
      <c r="T71" s="16">
        <f>'2-Data Input &amp; Assumptions'!F202/1000</f>
        <v>0</v>
      </c>
      <c r="U71" s="16">
        <f>'2-Data Input &amp; Assumptions'!G202/1000</f>
        <v>0</v>
      </c>
      <c r="V71" s="16">
        <f>'2-Data Input &amp; Assumptions'!H202/1000</f>
        <v>0</v>
      </c>
      <c r="W71" s="16">
        <f>'2-Data Input &amp; Assumptions'!I202/1000</f>
        <v>0</v>
      </c>
      <c r="X71" s="16">
        <f>'2-Data Input &amp; Assumptions'!J202/1000</f>
        <v>0</v>
      </c>
      <c r="Y71" s="16">
        <f>'2-Data Input &amp; Assumptions'!K202/1000</f>
        <v>0</v>
      </c>
      <c r="Z71" s="16">
        <f>'2-Data Input &amp; Assumptions'!L202/1000</f>
        <v>0</v>
      </c>
      <c r="AA71" s="16">
        <f>'2-Data Input &amp; Assumptions'!M202/1000</f>
        <v>0</v>
      </c>
      <c r="AB71" s="80">
        <f>'2-Data Input &amp; Assumptions'!N202/1000</f>
        <v>0</v>
      </c>
      <c r="AC71" s="16">
        <f>Q71*(1+'2-Data Input &amp; Assumptions'!$G244)</f>
        <v>0</v>
      </c>
      <c r="AD71" s="16">
        <f>R71*(1+'2-Data Input &amp; Assumptions'!$G244)</f>
        <v>0</v>
      </c>
      <c r="AE71" s="16">
        <f>S71*(1+'2-Data Input &amp; Assumptions'!$G244)</f>
        <v>0</v>
      </c>
      <c r="AF71" s="16">
        <f>T71*(1+'2-Data Input &amp; Assumptions'!$G244)</f>
        <v>0</v>
      </c>
      <c r="AG71" s="16">
        <f>U71*(1+'2-Data Input &amp; Assumptions'!$G244)</f>
        <v>0</v>
      </c>
      <c r="AH71" s="16">
        <f>V71*(1+'2-Data Input &amp; Assumptions'!$G244)</f>
        <v>0</v>
      </c>
      <c r="AI71" s="16">
        <f>W71*(1+'2-Data Input &amp; Assumptions'!$G244)</f>
        <v>0</v>
      </c>
      <c r="AJ71" s="16">
        <f>X71*(1+'2-Data Input &amp; Assumptions'!$G244)</f>
        <v>0</v>
      </c>
      <c r="AK71" s="16">
        <f>Y71*(1+'2-Data Input &amp; Assumptions'!$G244)</f>
        <v>0</v>
      </c>
      <c r="AL71" s="16">
        <f>Z71*(1+'2-Data Input &amp; Assumptions'!$G244)</f>
        <v>0</v>
      </c>
      <c r="AM71" s="16">
        <f>AA71*(1+'2-Data Input &amp; Assumptions'!$G244)</f>
        <v>0</v>
      </c>
      <c r="AN71" s="16">
        <f>AB71*(1+'2-Data Input &amp; Assumptions'!$G244)</f>
        <v>0</v>
      </c>
    </row>
    <row r="72" spans="2:45" x14ac:dyDescent="0.3">
      <c r="B72" s="22"/>
      <c r="D72" s="15" t="str">
        <f>'2-Data Input &amp; Assumptions'!A35</f>
        <v>GRANTS</v>
      </c>
      <c r="E72" s="16">
        <f>'2-Data Input &amp; Assumptions'!C160/1000</f>
        <v>0</v>
      </c>
      <c r="F72" s="16">
        <f>'2-Data Input &amp; Assumptions'!D160/1000</f>
        <v>0</v>
      </c>
      <c r="G72" s="16">
        <f>'2-Data Input &amp; Assumptions'!E160/1000</f>
        <v>0</v>
      </c>
      <c r="H72" s="16">
        <f>'2-Data Input &amp; Assumptions'!F160/1000</f>
        <v>0</v>
      </c>
      <c r="I72" s="16">
        <f>'2-Data Input &amp; Assumptions'!G160/1000</f>
        <v>0</v>
      </c>
      <c r="J72" s="16">
        <f>'2-Data Input &amp; Assumptions'!H160/1000</f>
        <v>0</v>
      </c>
      <c r="K72" s="16">
        <f>'2-Data Input &amp; Assumptions'!I160/1000</f>
        <v>0</v>
      </c>
      <c r="L72" s="16">
        <f>'2-Data Input &amp; Assumptions'!J160/1000</f>
        <v>0</v>
      </c>
      <c r="M72" s="16">
        <f>'2-Data Input &amp; Assumptions'!K160/1000</f>
        <v>0</v>
      </c>
      <c r="N72" s="16">
        <f>'2-Data Input &amp; Assumptions'!L160/1000</f>
        <v>0</v>
      </c>
      <c r="O72" s="16">
        <f>'2-Data Input &amp; Assumptions'!M160/1000</f>
        <v>0</v>
      </c>
      <c r="P72" s="80">
        <f>'2-Data Input &amp; Assumptions'!N160/1000</f>
        <v>0</v>
      </c>
      <c r="Q72" s="16">
        <f>'2-Data Input &amp; Assumptions'!C203/1000</f>
        <v>0</v>
      </c>
      <c r="R72" s="16">
        <f>'2-Data Input &amp; Assumptions'!D203/1000</f>
        <v>0</v>
      </c>
      <c r="S72" s="16">
        <f>'2-Data Input &amp; Assumptions'!E203/1000</f>
        <v>0</v>
      </c>
      <c r="T72" s="16">
        <f>'2-Data Input &amp; Assumptions'!F203/1000</f>
        <v>0</v>
      </c>
      <c r="U72" s="16">
        <f>'2-Data Input &amp; Assumptions'!G203/1000</f>
        <v>0</v>
      </c>
      <c r="V72" s="16">
        <f>'2-Data Input &amp; Assumptions'!H203/1000</f>
        <v>0</v>
      </c>
      <c r="W72" s="16">
        <f>'2-Data Input &amp; Assumptions'!I203/1000</f>
        <v>0</v>
      </c>
      <c r="X72" s="16">
        <f>'2-Data Input &amp; Assumptions'!J203/1000</f>
        <v>0</v>
      </c>
      <c r="Y72" s="16">
        <f>'2-Data Input &amp; Assumptions'!K203/1000</f>
        <v>0</v>
      </c>
      <c r="Z72" s="16">
        <f>'2-Data Input &amp; Assumptions'!L203/1000</f>
        <v>0</v>
      </c>
      <c r="AA72" s="16">
        <f>'2-Data Input &amp; Assumptions'!M203/1000</f>
        <v>0</v>
      </c>
      <c r="AB72" s="80">
        <f>'2-Data Input &amp; Assumptions'!N203/1000</f>
        <v>0</v>
      </c>
      <c r="AC72" s="16">
        <f>Q72*(1+'2-Data Input &amp; Assumptions'!$G245)</f>
        <v>0</v>
      </c>
      <c r="AD72" s="16">
        <f>R72*(1+'2-Data Input &amp; Assumptions'!$G245)</f>
        <v>0</v>
      </c>
      <c r="AE72" s="16">
        <f>S72*(1+'2-Data Input &amp; Assumptions'!$G245)</f>
        <v>0</v>
      </c>
      <c r="AF72" s="16">
        <f>T72*(1+'2-Data Input &amp; Assumptions'!$G245)</f>
        <v>0</v>
      </c>
      <c r="AG72" s="16">
        <f>U72*(1+'2-Data Input &amp; Assumptions'!$G245)</f>
        <v>0</v>
      </c>
      <c r="AH72" s="16">
        <f>V72*(1+'2-Data Input &amp; Assumptions'!$G245)</f>
        <v>0</v>
      </c>
      <c r="AI72" s="16">
        <f>W72*(1+'2-Data Input &amp; Assumptions'!$G245)</f>
        <v>0</v>
      </c>
      <c r="AJ72" s="16">
        <f>X72*(1+'2-Data Input &amp; Assumptions'!$G245)</f>
        <v>0</v>
      </c>
      <c r="AK72" s="16">
        <f>Y72*(1+'2-Data Input &amp; Assumptions'!$G245)</f>
        <v>0</v>
      </c>
      <c r="AL72" s="16">
        <f>Z72*(1+'2-Data Input &amp; Assumptions'!$G245)</f>
        <v>0</v>
      </c>
      <c r="AM72" s="16">
        <f>AA72*(1+'2-Data Input &amp; Assumptions'!$G245)</f>
        <v>0</v>
      </c>
      <c r="AN72" s="16">
        <f>AB72*(1+'2-Data Input &amp; Assumptions'!$G245)</f>
        <v>0</v>
      </c>
    </row>
    <row r="73" spans="2:45" x14ac:dyDescent="0.3">
      <c r="B73" s="22"/>
      <c r="D73" s="15" t="str">
        <f>'2-Data Input &amp; Assumptions'!A36</f>
        <v>TRANSFERS/OTHER</v>
      </c>
      <c r="E73" s="16">
        <f>'2-Data Input &amp; Assumptions'!C161/1000</f>
        <v>0</v>
      </c>
      <c r="F73" s="16">
        <f>'2-Data Input &amp; Assumptions'!D161/1000</f>
        <v>0</v>
      </c>
      <c r="G73" s="16">
        <f>'2-Data Input &amp; Assumptions'!E161/1000</f>
        <v>0</v>
      </c>
      <c r="H73" s="16">
        <f>'2-Data Input &amp; Assumptions'!F161/1000</f>
        <v>0</v>
      </c>
      <c r="I73" s="16">
        <f>'2-Data Input &amp; Assumptions'!G161/1000</f>
        <v>0</v>
      </c>
      <c r="J73" s="16">
        <f>'2-Data Input &amp; Assumptions'!H161/1000</f>
        <v>0</v>
      </c>
      <c r="K73" s="16">
        <f>'2-Data Input &amp; Assumptions'!I161/1000</f>
        <v>0</v>
      </c>
      <c r="L73" s="16">
        <f>'2-Data Input &amp; Assumptions'!J161/1000</f>
        <v>0</v>
      </c>
      <c r="M73" s="16">
        <f>'2-Data Input &amp; Assumptions'!K161/1000</f>
        <v>0</v>
      </c>
      <c r="N73" s="16">
        <f>'2-Data Input &amp; Assumptions'!L161/1000</f>
        <v>0</v>
      </c>
      <c r="O73" s="16">
        <f>'2-Data Input &amp; Assumptions'!M161/1000</f>
        <v>0</v>
      </c>
      <c r="P73" s="80">
        <f>'2-Data Input &amp; Assumptions'!N161/1000</f>
        <v>0</v>
      </c>
      <c r="Q73" s="16">
        <f>'2-Data Input &amp; Assumptions'!C204/1000</f>
        <v>0</v>
      </c>
      <c r="R73" s="16">
        <f>'2-Data Input &amp; Assumptions'!D204/1000</f>
        <v>0</v>
      </c>
      <c r="S73" s="16">
        <f>'2-Data Input &amp; Assumptions'!E204/1000</f>
        <v>0</v>
      </c>
      <c r="T73" s="16">
        <f>'2-Data Input &amp; Assumptions'!F204/1000</f>
        <v>0</v>
      </c>
      <c r="U73" s="16">
        <f>'2-Data Input &amp; Assumptions'!G204/1000</f>
        <v>0</v>
      </c>
      <c r="V73" s="16">
        <f>'2-Data Input &amp; Assumptions'!H204/1000</f>
        <v>0</v>
      </c>
      <c r="W73" s="16">
        <f>'2-Data Input &amp; Assumptions'!I204/1000</f>
        <v>0</v>
      </c>
      <c r="X73" s="16">
        <f>'2-Data Input &amp; Assumptions'!J204/1000</f>
        <v>0</v>
      </c>
      <c r="Y73" s="16">
        <f>'2-Data Input &amp; Assumptions'!K204/1000</f>
        <v>0</v>
      </c>
      <c r="Z73" s="16">
        <f>'2-Data Input &amp; Assumptions'!L204/1000</f>
        <v>0</v>
      </c>
      <c r="AA73" s="16">
        <f>'2-Data Input &amp; Assumptions'!M204/1000</f>
        <v>0</v>
      </c>
      <c r="AB73" s="80">
        <f>'2-Data Input &amp; Assumptions'!N204/1000</f>
        <v>0</v>
      </c>
      <c r="AC73" s="16">
        <f>Q73*(1+'2-Data Input &amp; Assumptions'!$G246)</f>
        <v>0</v>
      </c>
      <c r="AD73" s="16">
        <f>R73*(1+'2-Data Input &amp; Assumptions'!$G246)</f>
        <v>0</v>
      </c>
      <c r="AE73" s="16">
        <f>S73*(1+'2-Data Input &amp; Assumptions'!$G246)</f>
        <v>0</v>
      </c>
      <c r="AF73" s="16">
        <f>T73*(1+'2-Data Input &amp; Assumptions'!$G246)</f>
        <v>0</v>
      </c>
      <c r="AG73" s="16">
        <f>U73*(1+'2-Data Input &amp; Assumptions'!$G246)</f>
        <v>0</v>
      </c>
      <c r="AH73" s="16">
        <f>V73*(1+'2-Data Input &amp; Assumptions'!$G246)</f>
        <v>0</v>
      </c>
      <c r="AI73" s="16">
        <f>W73*(1+'2-Data Input &amp; Assumptions'!$G246)</f>
        <v>0</v>
      </c>
      <c r="AJ73" s="16">
        <f>X73*(1+'2-Data Input &amp; Assumptions'!$G246)</f>
        <v>0</v>
      </c>
      <c r="AK73" s="16">
        <f>Y73*(1+'2-Data Input &amp; Assumptions'!$G246)</f>
        <v>0</v>
      </c>
      <c r="AL73" s="16">
        <f>Z73*(1+'2-Data Input &amp; Assumptions'!$G246)</f>
        <v>0</v>
      </c>
      <c r="AM73" s="16">
        <f>AA73*(1+'2-Data Input &amp; Assumptions'!$G246)</f>
        <v>0</v>
      </c>
      <c r="AN73" s="16">
        <f>AB73*(1+'2-Data Input &amp; Assumptions'!$G246)</f>
        <v>0</v>
      </c>
    </row>
    <row r="74" spans="2:45" x14ac:dyDescent="0.3">
      <c r="B74" s="22"/>
      <c r="D74" s="15" t="str">
        <f>'2-Data Input &amp; Assumptions'!A37</f>
        <v>MTGE/DEED/TAXES/FEES</v>
      </c>
      <c r="E74" s="16">
        <f>'2-Data Input &amp; Assumptions'!C162/1000</f>
        <v>601.66899999999998</v>
      </c>
      <c r="F74" s="16">
        <f>'2-Data Input &amp; Assumptions'!D162/1000</f>
        <v>1011.668</v>
      </c>
      <c r="G74" s="16">
        <f>'2-Data Input &amp; Assumptions'!E162/1000</f>
        <v>1077.626</v>
      </c>
      <c r="H74" s="16">
        <f>'2-Data Input &amp; Assumptions'!F162/1000</f>
        <v>1252.2</v>
      </c>
      <c r="I74" s="16">
        <f>'2-Data Input &amp; Assumptions'!G162/1000</f>
        <v>1138.3</v>
      </c>
      <c r="J74" s="16">
        <f>'2-Data Input &amp; Assumptions'!H162/1000</f>
        <v>2234</v>
      </c>
      <c r="K74" s="16">
        <f>'2-Data Input &amp; Assumptions'!I162/1000</f>
        <v>7.7</v>
      </c>
      <c r="L74" s="16">
        <f>'2-Data Input &amp; Assumptions'!J162/1000</f>
        <v>2350.6</v>
      </c>
      <c r="M74" s="16">
        <f>'2-Data Input &amp; Assumptions'!K162/1000</f>
        <v>1705.1</v>
      </c>
      <c r="N74" s="16">
        <f>'2-Data Input &amp; Assumptions'!L162/1000</f>
        <v>1672.5</v>
      </c>
      <c r="O74" s="16">
        <f>'2-Data Input &amp; Assumptions'!M162/1000</f>
        <v>2355.6999999999998</v>
      </c>
      <c r="P74" s="80">
        <f>'2-Data Input &amp; Assumptions'!N162/1000</f>
        <v>36.799999999999997</v>
      </c>
      <c r="Q74" s="16">
        <f>'2-Data Input &amp; Assumptions'!C205/1000</f>
        <v>1122.2661688904366</v>
      </c>
      <c r="R74" s="16">
        <f>'2-Data Input &amp; Assumptions'!D205/1000</f>
        <v>1110.8759518963307</v>
      </c>
      <c r="S74" s="16">
        <f>'2-Data Input &amp; Assumptions'!E205/1000</f>
        <v>934.09560537922414</v>
      </c>
      <c r="T74" s="16">
        <f>'2-Data Input &amp; Assumptions'!F205/1000</f>
        <v>1097.5136224283322</v>
      </c>
      <c r="U74" s="16">
        <f>'2-Data Input &amp; Assumptions'!G205/1000</f>
        <v>1112.3753923854385</v>
      </c>
      <c r="V74" s="16">
        <f>'2-Data Input &amp; Assumptions'!H205/1000</f>
        <v>2397.6166083717458</v>
      </c>
      <c r="W74" s="16">
        <f>'2-Data Input &amp; Assumptions'!I205/1000</f>
        <v>7.6446883952890481</v>
      </c>
      <c r="X74" s="16">
        <f>'2-Data Input &amp; Assumptions'!J205/1000</f>
        <v>2118.9291037224493</v>
      </c>
      <c r="Y74" s="16">
        <f>'2-Data Input &amp; Assumptions'!K205/1000</f>
        <v>1635.675002044258</v>
      </c>
      <c r="Z74" s="16">
        <f>'2-Data Input &amp; Assumptions'!L205/1000</f>
        <v>1499.665302760709</v>
      </c>
      <c r="AA74" s="16">
        <f>'2-Data Input &amp; Assumptions'!M205/1000</f>
        <v>2047.5218351566198</v>
      </c>
      <c r="AB74" s="80">
        <f>'2-Data Input &amp; Assumptions'!N205/1000</f>
        <v>639.73771856916665</v>
      </c>
      <c r="AC74" s="16">
        <f>Q74*(1+'2-Data Input &amp; Assumptions'!$G247)</f>
        <v>1122.2661688904366</v>
      </c>
      <c r="AD74" s="16">
        <f>R74*(1+'2-Data Input &amp; Assumptions'!$G247)</f>
        <v>1110.8759518963307</v>
      </c>
      <c r="AE74" s="16">
        <f>S74*(1+'2-Data Input &amp; Assumptions'!$G247)</f>
        <v>934.09560537922414</v>
      </c>
      <c r="AF74" s="16">
        <f>T74*(1+'2-Data Input &amp; Assumptions'!$G247)</f>
        <v>1097.5136224283322</v>
      </c>
      <c r="AG74" s="16">
        <f>U74*(1+'2-Data Input &amp; Assumptions'!$G247)</f>
        <v>1112.3753923854385</v>
      </c>
      <c r="AH74" s="16">
        <f>V74*(1+'2-Data Input &amp; Assumptions'!$G247)</f>
        <v>2397.6166083717458</v>
      </c>
      <c r="AI74" s="16">
        <f>W74*(1+'2-Data Input &amp; Assumptions'!$G247)</f>
        <v>7.6446883952890481</v>
      </c>
      <c r="AJ74" s="16">
        <f>X74*(1+'2-Data Input &amp; Assumptions'!$G247)</f>
        <v>2118.9291037224493</v>
      </c>
      <c r="AK74" s="16">
        <f>Y74*(1+'2-Data Input &amp; Assumptions'!$G247)</f>
        <v>1635.675002044258</v>
      </c>
      <c r="AL74" s="16">
        <f>Z74*(1+'2-Data Input &amp; Assumptions'!$G247)</f>
        <v>1499.665302760709</v>
      </c>
      <c r="AM74" s="16">
        <f>AA74*(1+'2-Data Input &amp; Assumptions'!$G247)</f>
        <v>2047.5218351566198</v>
      </c>
      <c r="AN74" s="16">
        <f>AB74*(1+'2-Data Input &amp; Assumptions'!$G247)</f>
        <v>639.73771856916665</v>
      </c>
    </row>
    <row r="75" spans="2:45" x14ac:dyDescent="0.3">
      <c r="B75" s="22"/>
      <c r="D75" s="15" t="str">
        <f>'2-Data Input &amp; Assumptions'!A38</f>
        <v>DEBT PYMTS</v>
      </c>
      <c r="E75" s="16">
        <f>'2-Data Input &amp; Assumptions'!C163/1000</f>
        <v>229.83799999999999</v>
      </c>
      <c r="F75" s="16">
        <f>'2-Data Input &amp; Assumptions'!D163/1000</f>
        <v>31711.544000000002</v>
      </c>
      <c r="G75" s="16">
        <f>'2-Data Input &amp; Assumptions'!E163/1000</f>
        <v>282.33300000000003</v>
      </c>
      <c r="H75" s="16">
        <f>'2-Data Input &amp; Assumptions'!F163/1000</f>
        <v>0</v>
      </c>
      <c r="I75" s="16">
        <f>'2-Data Input &amp; Assumptions'!G163/1000</f>
        <v>0</v>
      </c>
      <c r="J75" s="16">
        <f>'2-Data Input &amp; Assumptions'!H163/1000</f>
        <v>0</v>
      </c>
      <c r="K75" s="16">
        <f>'2-Data Input &amp; Assumptions'!I163/1000</f>
        <v>15</v>
      </c>
      <c r="L75" s="16">
        <f>'2-Data Input &amp; Assumptions'!J163/1000</f>
        <v>1740</v>
      </c>
      <c r="M75" s="16">
        <f>'2-Data Input &amp; Assumptions'!K163/1000</f>
        <v>0</v>
      </c>
      <c r="N75" s="16">
        <f>'2-Data Input &amp; Assumptions'!L163/1000</f>
        <v>0</v>
      </c>
      <c r="O75" s="16">
        <f>'2-Data Input &amp; Assumptions'!M163/1000</f>
        <v>0</v>
      </c>
      <c r="P75" s="80">
        <f>'2-Data Input &amp; Assumptions'!N163/1000</f>
        <v>0</v>
      </c>
      <c r="Q75" s="16">
        <f>'2-Data Input &amp; Assumptions'!C206/1000</f>
        <v>175.37986635623429</v>
      </c>
      <c r="R75" s="16">
        <f>'2-Data Input &amp; Assumptions'!D206/1000</f>
        <v>13691.37411849851</v>
      </c>
      <c r="S75" s="16">
        <f>'2-Data Input &amp; Assumptions'!E206/1000</f>
        <v>0</v>
      </c>
      <c r="T75" s="16">
        <f>'2-Data Input &amp; Assumptions'!F206/1000</f>
        <v>0</v>
      </c>
      <c r="U75" s="16">
        <f>'2-Data Input &amp; Assumptions'!G206/1000</f>
        <v>102.71829895195519</v>
      </c>
      <c r="V75" s="16">
        <f>'2-Data Input &amp; Assumptions'!H206/1000</f>
        <v>0</v>
      </c>
      <c r="W75" s="16">
        <f>'2-Data Input &amp; Assumptions'!I206/1000</f>
        <v>745.19166627070695</v>
      </c>
      <c r="X75" s="16">
        <f>'2-Data Input &amp; Assumptions'!J206/1000</f>
        <v>708.02165067660781</v>
      </c>
      <c r="Y75" s="16">
        <f>'2-Data Input &amp; Assumptions'!K206/1000</f>
        <v>0</v>
      </c>
      <c r="Z75" s="16">
        <f>'2-Data Input &amp; Assumptions'!L206/1000</f>
        <v>0</v>
      </c>
      <c r="AA75" s="16">
        <f>'2-Data Input &amp; Assumptions'!M206/1000</f>
        <v>12.677850108197653</v>
      </c>
      <c r="AB75" s="80">
        <f>'2-Data Input &amp; Assumptions'!N206/1000</f>
        <v>626.61654913778773</v>
      </c>
      <c r="AC75" s="16">
        <f>Q75*(1+'2-Data Input &amp; Assumptions'!$G248)</f>
        <v>175.37986635623429</v>
      </c>
      <c r="AD75" s="16">
        <f>R75*(1+'2-Data Input &amp; Assumptions'!$G248)</f>
        <v>13691.37411849851</v>
      </c>
      <c r="AE75" s="16">
        <f>S75*(1+'2-Data Input &amp; Assumptions'!$G248)</f>
        <v>0</v>
      </c>
      <c r="AF75" s="16">
        <f>T75*(1+'2-Data Input &amp; Assumptions'!$G248)</f>
        <v>0</v>
      </c>
      <c r="AG75" s="16">
        <f>U75*(1+'2-Data Input &amp; Assumptions'!$G248)</f>
        <v>102.71829895195519</v>
      </c>
      <c r="AH75" s="16">
        <f>V75*(1+'2-Data Input &amp; Assumptions'!$G248)</f>
        <v>0</v>
      </c>
      <c r="AI75" s="16">
        <f>W75*(1+'2-Data Input &amp; Assumptions'!$G248)</f>
        <v>745.19166627070695</v>
      </c>
      <c r="AJ75" s="16">
        <f>X75*(1+'2-Data Input &amp; Assumptions'!$G248)</f>
        <v>708.02165067660781</v>
      </c>
      <c r="AK75" s="16">
        <f>Y75*(1+'2-Data Input &amp; Assumptions'!$G248)</f>
        <v>0</v>
      </c>
      <c r="AL75" s="16">
        <f>Z75*(1+'2-Data Input &amp; Assumptions'!$G248)</f>
        <v>0</v>
      </c>
      <c r="AM75" s="16">
        <f>AA75*(1+'2-Data Input &amp; Assumptions'!$G248)</f>
        <v>12.677850108197653</v>
      </c>
      <c r="AN75" s="16">
        <f>AB75*(1+'2-Data Input &amp; Assumptions'!$G248)</f>
        <v>626.61654913778773</v>
      </c>
    </row>
    <row r="76" spans="2:45" x14ac:dyDescent="0.3">
      <c r="B76" s="22"/>
      <c r="D76" s="15" t="str">
        <f>'2-Data Input &amp; Assumptions'!A39</f>
        <v>TAX DISTRIBUTION PYMTS</v>
      </c>
      <c r="E76" s="16">
        <f>'2-Data Input &amp; Assumptions'!C164/1000</f>
        <v>3963.4929999999999</v>
      </c>
      <c r="F76" s="16">
        <f>'2-Data Input &amp; Assumptions'!D164/1000</f>
        <v>0</v>
      </c>
      <c r="G76" s="16">
        <f>'2-Data Input &amp; Assumptions'!E164/1000</f>
        <v>0</v>
      </c>
      <c r="H76" s="16">
        <f>'2-Data Input &amp; Assumptions'!F164/1000</f>
        <v>0</v>
      </c>
      <c r="I76" s="16">
        <f>'2-Data Input &amp; Assumptions'!G164/1000</f>
        <v>48719</v>
      </c>
      <c r="J76" s="16">
        <f>'2-Data Input &amp; Assumptions'!H164/1000</f>
        <v>70436.600000000006</v>
      </c>
      <c r="K76" s="16">
        <f>'2-Data Input &amp; Assumptions'!I164/1000</f>
        <v>105455.8</v>
      </c>
      <c r="L76" s="16">
        <f>'2-Data Input &amp; Assumptions'!J164/1000</f>
        <v>0</v>
      </c>
      <c r="M76" s="16">
        <f>'2-Data Input &amp; Assumptions'!K164/1000</f>
        <v>0</v>
      </c>
      <c r="N76" s="16">
        <f>'2-Data Input &amp; Assumptions'!L164/1000</f>
        <v>43239.9</v>
      </c>
      <c r="O76" s="16">
        <f>'2-Data Input &amp; Assumptions'!M164/1000</f>
        <v>45596.5</v>
      </c>
      <c r="P76" s="80">
        <f>'2-Data Input &amp; Assumptions'!N164/1000</f>
        <v>105641.1</v>
      </c>
      <c r="Q76" s="16">
        <f>'2-Data Input &amp; Assumptions'!C207/1000</f>
        <v>2751.5534222275173</v>
      </c>
      <c r="R76" s="16">
        <f>'2-Data Input &amp; Assumptions'!D207/1000</f>
        <v>0</v>
      </c>
      <c r="S76" s="16">
        <f>'2-Data Input &amp; Assumptions'!E207/1000</f>
        <v>324.19399220624638</v>
      </c>
      <c r="T76" s="16">
        <f>'2-Data Input &amp; Assumptions'!F207/1000</f>
        <v>0</v>
      </c>
      <c r="U76" s="16">
        <f>'2-Data Input &amp; Assumptions'!G207/1000</f>
        <v>48015.155799956083</v>
      </c>
      <c r="V76" s="16">
        <f>'2-Data Input &amp; Assumptions'!H207/1000</f>
        <v>74814.730993102145</v>
      </c>
      <c r="W76" s="16">
        <f>'2-Data Input &amp; Assumptions'!I207/1000</f>
        <v>102925.94422842866</v>
      </c>
      <c r="X76" s="16">
        <f>'2-Data Input &amp; Assumptions'!J207/1000</f>
        <v>0</v>
      </c>
      <c r="Y76" s="16">
        <f>'2-Data Input &amp; Assumptions'!K207/1000</f>
        <v>0</v>
      </c>
      <c r="Z76" s="16">
        <f>'2-Data Input &amp; Assumptions'!L207/1000</f>
        <v>42530.922656092269</v>
      </c>
      <c r="AA76" s="16">
        <f>'2-Data Input &amp; Assumptions'!M207/1000</f>
        <v>96102.965979668297</v>
      </c>
      <c r="AB76" s="80">
        <f>'2-Data Input &amp; Assumptions'!N207/1000</f>
        <v>54280.889388318785</v>
      </c>
      <c r="AC76" s="16">
        <f>Q76*(1+'2-Data Input &amp; Assumptions'!$G249)</f>
        <v>2834.1000248943428</v>
      </c>
      <c r="AD76" s="16">
        <f>R76*(1+'2-Data Input &amp; Assumptions'!$G249)</f>
        <v>0</v>
      </c>
      <c r="AE76" s="16">
        <f>S76*(1+'2-Data Input &amp; Assumptions'!$G249)</f>
        <v>333.91981197243376</v>
      </c>
      <c r="AF76" s="16">
        <f>T76*(1+'2-Data Input &amp; Assumptions'!$G249)</f>
        <v>0</v>
      </c>
      <c r="AG76" s="16">
        <f>U76*(1+'2-Data Input &amp; Assumptions'!$G249)</f>
        <v>49455.610473954766</v>
      </c>
      <c r="AH76" s="16">
        <f>V76*(1+'2-Data Input &amp; Assumptions'!$G249)</f>
        <v>77059.172922895217</v>
      </c>
      <c r="AI76" s="16">
        <f>W76*(1+'2-Data Input &amp; Assumptions'!$G249)</f>
        <v>106013.72255528152</v>
      </c>
      <c r="AJ76" s="16">
        <f>X76*(1+'2-Data Input &amp; Assumptions'!$G249)</f>
        <v>0</v>
      </c>
      <c r="AK76" s="16">
        <f>Y76*(1+'2-Data Input &amp; Assumptions'!$G249)</f>
        <v>0</v>
      </c>
      <c r="AL76" s="16">
        <f>Z76*(1+'2-Data Input &amp; Assumptions'!$G249)</f>
        <v>43806.850335775038</v>
      </c>
      <c r="AM76" s="16">
        <f>AA76*(1+'2-Data Input &amp; Assumptions'!$G249)</f>
        <v>98986.054959058354</v>
      </c>
      <c r="AN76" s="16">
        <f>AB76*(1+'2-Data Input &amp; Assumptions'!$G249)</f>
        <v>55909.31606996835</v>
      </c>
    </row>
    <row r="77" spans="2:45" x14ac:dyDescent="0.3">
      <c r="B77" s="22"/>
      <c r="D77" s="15" t="str">
        <f>'2-Data Input &amp; Assumptions'!A40</f>
        <v xml:space="preserve">INVESTMENT PURCHASES </v>
      </c>
      <c r="E77" s="16">
        <f>'2-Data Input &amp; Assumptions'!C165/1000</f>
        <v>2249.0859999999998</v>
      </c>
      <c r="F77" s="16">
        <f>'2-Data Input &amp; Assumptions'!D165/1000</f>
        <v>6020.6239999999998</v>
      </c>
      <c r="G77" s="16">
        <f>'2-Data Input &amp; Assumptions'!E165/1000</f>
        <v>20363.918000000001</v>
      </c>
      <c r="H77" s="16">
        <f>'2-Data Input &amp; Assumptions'!F165/1000</f>
        <v>0</v>
      </c>
      <c r="I77" s="16">
        <f>'2-Data Input &amp; Assumptions'!G165/1000</f>
        <v>0</v>
      </c>
      <c r="J77" s="16">
        <f>'2-Data Input &amp; Assumptions'!H165/1000</f>
        <v>0</v>
      </c>
      <c r="K77" s="16">
        <f>'2-Data Input &amp; Assumptions'!I165/1000</f>
        <v>0</v>
      </c>
      <c r="L77" s="16">
        <f>'2-Data Input &amp; Assumptions'!J165/1000</f>
        <v>0</v>
      </c>
      <c r="M77" s="16">
        <f>'2-Data Input &amp; Assumptions'!K165/1000</f>
        <v>0</v>
      </c>
      <c r="N77" s="16">
        <f>'2-Data Input &amp; Assumptions'!L165/1000</f>
        <v>0</v>
      </c>
      <c r="O77" s="16">
        <f>'2-Data Input &amp; Assumptions'!M165/1000</f>
        <v>0</v>
      </c>
      <c r="P77" s="80">
        <f>'2-Data Input &amp; Assumptions'!N165/1000</f>
        <v>0</v>
      </c>
      <c r="Q77" s="16">
        <f>'2-Data Input &amp; Assumptions'!C208/1000</f>
        <v>0</v>
      </c>
      <c r="R77" s="16">
        <f>'2-Data Input &amp; Assumptions'!D208/1000</f>
        <v>0</v>
      </c>
      <c r="S77" s="16">
        <f>'2-Data Input &amp; Assumptions'!E208/1000</f>
        <v>0</v>
      </c>
      <c r="T77" s="16">
        <f>'2-Data Input &amp; Assumptions'!F208/1000</f>
        <v>2033.1523151538468</v>
      </c>
      <c r="U77" s="16">
        <f>'2-Data Input &amp; Assumptions'!G208/1000</f>
        <v>3187.2288200974626</v>
      </c>
      <c r="V77" s="16">
        <f>'2-Data Input &amp; Assumptions'!H208/1000</f>
        <v>4005.548504076005</v>
      </c>
      <c r="W77" s="16">
        <f>'2-Data Input &amp; Assumptions'!I208/1000</f>
        <v>1953.1383333500457</v>
      </c>
      <c r="X77" s="16">
        <f>'2-Data Input &amp; Assumptions'!J208/1000</f>
        <v>1595.6502024916438</v>
      </c>
      <c r="Y77" s="16">
        <f>'2-Data Input &amp; Assumptions'!K208/1000</f>
        <v>1849.3157706679369</v>
      </c>
      <c r="Z77" s="16">
        <f>'2-Data Input &amp; Assumptions'!L208/1000</f>
        <v>4162.6295659081388</v>
      </c>
      <c r="AA77" s="16">
        <f>'2-Data Input &amp; Assumptions'!M208/1000</f>
        <v>901.78440590604532</v>
      </c>
      <c r="AB77" s="80">
        <f>'2-Data Input &amp; Assumptions'!N208/1000</f>
        <v>2724.7684464598142</v>
      </c>
      <c r="AC77" s="16">
        <f>Q77*(1+'2-Data Input &amp; Assumptions'!$G250)</f>
        <v>0</v>
      </c>
      <c r="AD77" s="16">
        <f>R77*(1+'2-Data Input &amp; Assumptions'!$G250)</f>
        <v>0</v>
      </c>
      <c r="AE77" s="16">
        <f>S77*(1+'2-Data Input &amp; Assumptions'!$G250)</f>
        <v>0</v>
      </c>
      <c r="AF77" s="16">
        <f>T77*(1+'2-Data Input &amp; Assumptions'!$G250)</f>
        <v>2033.1523151538468</v>
      </c>
      <c r="AG77" s="16">
        <f>U77*(1+'2-Data Input &amp; Assumptions'!$G250)</f>
        <v>3187.2288200974626</v>
      </c>
      <c r="AH77" s="16">
        <f>V77*(1+'2-Data Input &amp; Assumptions'!$G250)</f>
        <v>4005.548504076005</v>
      </c>
      <c r="AI77" s="16">
        <f>W77*(1+'2-Data Input &amp; Assumptions'!$G250)</f>
        <v>1953.1383333500457</v>
      </c>
      <c r="AJ77" s="16">
        <f>X77*(1+'2-Data Input &amp; Assumptions'!$G250)</f>
        <v>1595.6502024916438</v>
      </c>
      <c r="AK77" s="16">
        <f>Y77*(1+'2-Data Input &amp; Assumptions'!$G250)</f>
        <v>1849.3157706679369</v>
      </c>
      <c r="AL77" s="16">
        <f>Z77*(1+'2-Data Input &amp; Assumptions'!$G250)</f>
        <v>4162.6295659081388</v>
      </c>
      <c r="AM77" s="16">
        <f>AA77*(1+'2-Data Input &amp; Assumptions'!$G250)</f>
        <v>901.78440590604532</v>
      </c>
      <c r="AN77" s="16">
        <f>AB77*(1+'2-Data Input &amp; Assumptions'!$G250)</f>
        <v>2724.7684464598142</v>
      </c>
    </row>
    <row r="78" spans="2:45" x14ac:dyDescent="0.3">
      <c r="B78" s="22"/>
      <c r="D78" s="15" t="str">
        <f>'2-Data Input &amp; Assumptions'!A41</f>
        <v>OTHER EXPENSES/USES</v>
      </c>
      <c r="E78" s="16">
        <f>'2-Data Input &amp; Assumptions'!C166/1000</f>
        <v>0</v>
      </c>
      <c r="F78" s="16">
        <f>'2-Data Input &amp; Assumptions'!D166/1000</f>
        <v>0</v>
      </c>
      <c r="G78" s="16">
        <f>'2-Data Input &amp; Assumptions'!E166/1000</f>
        <v>0</v>
      </c>
      <c r="H78" s="16">
        <f>'2-Data Input &amp; Assumptions'!F166/1000</f>
        <v>0</v>
      </c>
      <c r="I78" s="16">
        <f>'2-Data Input &amp; Assumptions'!G166/1000</f>
        <v>0</v>
      </c>
      <c r="J78" s="16">
        <f>'2-Data Input &amp; Assumptions'!H166/1000</f>
        <v>0</v>
      </c>
      <c r="K78" s="16">
        <f>'2-Data Input &amp; Assumptions'!I166/1000</f>
        <v>0</v>
      </c>
      <c r="L78" s="16">
        <f>'2-Data Input &amp; Assumptions'!J166/1000</f>
        <v>0</v>
      </c>
      <c r="M78" s="16">
        <f>'2-Data Input &amp; Assumptions'!K166/1000</f>
        <v>0</v>
      </c>
      <c r="N78" s="16">
        <f>'2-Data Input &amp; Assumptions'!L166/1000</f>
        <v>0</v>
      </c>
      <c r="O78" s="16">
        <f>'2-Data Input &amp; Assumptions'!M166/1000</f>
        <v>0</v>
      </c>
      <c r="P78" s="80">
        <f>'2-Data Input &amp; Assumptions'!N166/1000</f>
        <v>0</v>
      </c>
      <c r="Q78" s="16">
        <f>'2-Data Input &amp; Assumptions'!C209/1000</f>
        <v>0</v>
      </c>
      <c r="R78" s="16">
        <f>'2-Data Input &amp; Assumptions'!D209/1000</f>
        <v>0</v>
      </c>
      <c r="S78" s="16">
        <f>'2-Data Input &amp; Assumptions'!E209/1000</f>
        <v>0</v>
      </c>
      <c r="T78" s="16">
        <f>'2-Data Input &amp; Assumptions'!F209/1000</f>
        <v>0</v>
      </c>
      <c r="U78" s="16">
        <f>'2-Data Input &amp; Assumptions'!G209/1000</f>
        <v>0</v>
      </c>
      <c r="V78" s="16">
        <f>'2-Data Input &amp; Assumptions'!H209/1000</f>
        <v>0</v>
      </c>
      <c r="W78" s="16">
        <f>'2-Data Input &amp; Assumptions'!I209/1000</f>
        <v>0</v>
      </c>
      <c r="X78" s="16">
        <f>'2-Data Input &amp; Assumptions'!J209/1000</f>
        <v>0</v>
      </c>
      <c r="Y78" s="16">
        <f>'2-Data Input &amp; Assumptions'!K209/1000</f>
        <v>0</v>
      </c>
      <c r="Z78" s="16">
        <f>'2-Data Input &amp; Assumptions'!L209/1000</f>
        <v>0</v>
      </c>
      <c r="AA78" s="16">
        <f>'2-Data Input &amp; Assumptions'!M209/1000</f>
        <v>0</v>
      </c>
      <c r="AB78" s="80">
        <f>'2-Data Input &amp; Assumptions'!N209/1000</f>
        <v>0</v>
      </c>
      <c r="AC78" s="16">
        <f>Q78*(1+'2-Data Input &amp; Assumptions'!$G251)</f>
        <v>0</v>
      </c>
      <c r="AD78" s="16">
        <f>R78*(1+'2-Data Input &amp; Assumptions'!$G251)</f>
        <v>0</v>
      </c>
      <c r="AE78" s="16">
        <f>S78*(1+'2-Data Input &amp; Assumptions'!$G251)</f>
        <v>0</v>
      </c>
      <c r="AF78" s="16">
        <f>T78*(1+'2-Data Input &amp; Assumptions'!$G251)</f>
        <v>0</v>
      </c>
      <c r="AG78" s="16">
        <f>U78*(1+'2-Data Input &amp; Assumptions'!$G251)</f>
        <v>0</v>
      </c>
      <c r="AH78" s="16">
        <f>V78*(1+'2-Data Input &amp; Assumptions'!$G251)</f>
        <v>0</v>
      </c>
      <c r="AI78" s="16">
        <f>W78*(1+'2-Data Input &amp; Assumptions'!$G251)</f>
        <v>0</v>
      </c>
      <c r="AJ78" s="16">
        <f>X78*(1+'2-Data Input &amp; Assumptions'!$G251)</f>
        <v>0</v>
      </c>
      <c r="AK78" s="16">
        <f>Y78*(1+'2-Data Input &amp; Assumptions'!$G251)</f>
        <v>0</v>
      </c>
      <c r="AL78" s="16">
        <f>Z78*(1+'2-Data Input &amp; Assumptions'!$G251)</f>
        <v>0</v>
      </c>
      <c r="AM78" s="16">
        <f>AA78*(1+'2-Data Input &amp; Assumptions'!$G251)</f>
        <v>0</v>
      </c>
      <c r="AN78" s="16">
        <f>AB78*(1+'2-Data Input &amp; Assumptions'!$G251)</f>
        <v>0</v>
      </c>
    </row>
    <row r="79" spans="2:45" x14ac:dyDescent="0.3">
      <c r="B79" s="22"/>
      <c r="D79" s="15" t="str">
        <f>'2-Data Input &amp; Assumptions'!A42</f>
        <v>OTHER EXPENSES/USES</v>
      </c>
      <c r="E79" s="16">
        <f>'2-Data Input &amp; Assumptions'!C167/1000</f>
        <v>0</v>
      </c>
      <c r="F79" s="16">
        <f>'2-Data Input &amp; Assumptions'!D167/1000</f>
        <v>0</v>
      </c>
      <c r="G79" s="16">
        <f>'2-Data Input &amp; Assumptions'!E167/1000</f>
        <v>0</v>
      </c>
      <c r="H79" s="16">
        <f>'2-Data Input &amp; Assumptions'!F167/1000</f>
        <v>0</v>
      </c>
      <c r="I79" s="16">
        <f>'2-Data Input &amp; Assumptions'!G167/1000</f>
        <v>0</v>
      </c>
      <c r="J79" s="16">
        <f>'2-Data Input &amp; Assumptions'!H167/1000</f>
        <v>0</v>
      </c>
      <c r="K79" s="16">
        <f>'2-Data Input &amp; Assumptions'!I167/1000</f>
        <v>0</v>
      </c>
      <c r="L79" s="16">
        <f>'2-Data Input &amp; Assumptions'!J167/1000</f>
        <v>0</v>
      </c>
      <c r="M79" s="16">
        <f>'2-Data Input &amp; Assumptions'!K167/1000</f>
        <v>0</v>
      </c>
      <c r="N79" s="16">
        <f>'2-Data Input &amp; Assumptions'!L167/1000</f>
        <v>0</v>
      </c>
      <c r="O79" s="16">
        <f>'2-Data Input &amp; Assumptions'!M167/1000</f>
        <v>0</v>
      </c>
      <c r="P79" s="80">
        <f>'2-Data Input &amp; Assumptions'!N167/1000</f>
        <v>0</v>
      </c>
      <c r="Q79" s="16">
        <f>'2-Data Input &amp; Assumptions'!C210/1000</f>
        <v>0</v>
      </c>
      <c r="R79" s="16">
        <f>'2-Data Input &amp; Assumptions'!D210/1000</f>
        <v>0</v>
      </c>
      <c r="S79" s="16">
        <f>'2-Data Input &amp; Assumptions'!E210/1000</f>
        <v>0</v>
      </c>
      <c r="T79" s="16">
        <f>'2-Data Input &amp; Assumptions'!F210/1000</f>
        <v>0</v>
      </c>
      <c r="U79" s="16">
        <f>'2-Data Input &amp; Assumptions'!G210/1000</f>
        <v>0</v>
      </c>
      <c r="V79" s="16">
        <f>'2-Data Input &amp; Assumptions'!H210/1000</f>
        <v>0</v>
      </c>
      <c r="W79" s="16">
        <f>'2-Data Input &amp; Assumptions'!I210/1000</f>
        <v>0</v>
      </c>
      <c r="X79" s="16">
        <f>'2-Data Input &amp; Assumptions'!J210/1000</f>
        <v>0</v>
      </c>
      <c r="Y79" s="16">
        <f>'2-Data Input &amp; Assumptions'!K210/1000</f>
        <v>0</v>
      </c>
      <c r="Z79" s="16">
        <f>'2-Data Input &amp; Assumptions'!L210/1000</f>
        <v>0</v>
      </c>
      <c r="AA79" s="16">
        <f>'2-Data Input &amp; Assumptions'!M210/1000</f>
        <v>0</v>
      </c>
      <c r="AB79" s="80">
        <f>'2-Data Input &amp; Assumptions'!N210/1000</f>
        <v>0</v>
      </c>
      <c r="AC79" s="16">
        <f>Q79*(1+'2-Data Input &amp; Assumptions'!$G252)</f>
        <v>0</v>
      </c>
      <c r="AD79" s="16">
        <f>R79*(1+'2-Data Input &amp; Assumptions'!$G252)</f>
        <v>0</v>
      </c>
      <c r="AE79" s="16">
        <f>S79*(1+'2-Data Input &amp; Assumptions'!$G252)</f>
        <v>0</v>
      </c>
      <c r="AF79" s="16">
        <f>T79*(1+'2-Data Input &amp; Assumptions'!$G252)</f>
        <v>0</v>
      </c>
      <c r="AG79" s="16">
        <f>U79*(1+'2-Data Input &amp; Assumptions'!$G252)</f>
        <v>0</v>
      </c>
      <c r="AH79" s="16">
        <f>V79*(1+'2-Data Input &amp; Assumptions'!$G252)</f>
        <v>0</v>
      </c>
      <c r="AI79" s="16">
        <f>W79*(1+'2-Data Input &amp; Assumptions'!$G252)</f>
        <v>0</v>
      </c>
      <c r="AJ79" s="16">
        <f>X79*(1+'2-Data Input &amp; Assumptions'!$G252)</f>
        <v>0</v>
      </c>
      <c r="AK79" s="16">
        <f>Y79*(1+'2-Data Input &amp; Assumptions'!$G252)</f>
        <v>0</v>
      </c>
      <c r="AL79" s="16">
        <f>Z79*(1+'2-Data Input &amp; Assumptions'!$G252)</f>
        <v>0</v>
      </c>
      <c r="AM79" s="16">
        <f>AA79*(1+'2-Data Input &amp; Assumptions'!$G252)</f>
        <v>0</v>
      </c>
      <c r="AN79" s="16">
        <f>AB79*(1+'2-Data Input &amp; Assumptions'!$G252)</f>
        <v>0</v>
      </c>
    </row>
    <row r="80" spans="2:45" x14ac:dyDescent="0.3">
      <c r="B80" s="22"/>
      <c r="D80" s="15" t="str">
        <f>'2-Data Input &amp; Assumptions'!A43</f>
        <v>OTHER EXPENSES/USES</v>
      </c>
      <c r="E80" s="16">
        <f>'2-Data Input &amp; Assumptions'!C168/1000</f>
        <v>0</v>
      </c>
      <c r="F80" s="16">
        <f>'2-Data Input &amp; Assumptions'!D168/1000</f>
        <v>0</v>
      </c>
      <c r="G80" s="16">
        <f>'2-Data Input &amp; Assumptions'!E168/1000</f>
        <v>0</v>
      </c>
      <c r="H80" s="16">
        <f>'2-Data Input &amp; Assumptions'!F168/1000</f>
        <v>0</v>
      </c>
      <c r="I80" s="16">
        <f>'2-Data Input &amp; Assumptions'!G168/1000</f>
        <v>0</v>
      </c>
      <c r="J80" s="16">
        <f>'2-Data Input &amp; Assumptions'!H168/1000</f>
        <v>0</v>
      </c>
      <c r="K80" s="16">
        <f>'2-Data Input &amp; Assumptions'!I168/1000</f>
        <v>0</v>
      </c>
      <c r="L80" s="16">
        <f>'2-Data Input &amp; Assumptions'!J168/1000</f>
        <v>0</v>
      </c>
      <c r="M80" s="16">
        <f>'2-Data Input &amp; Assumptions'!K168/1000</f>
        <v>0</v>
      </c>
      <c r="N80" s="16">
        <f>'2-Data Input &amp; Assumptions'!L168/1000</f>
        <v>0</v>
      </c>
      <c r="O80" s="16">
        <f>'2-Data Input &amp; Assumptions'!M168/1000</f>
        <v>0</v>
      </c>
      <c r="P80" s="80">
        <f>'2-Data Input &amp; Assumptions'!N168/1000</f>
        <v>0</v>
      </c>
      <c r="Q80" s="16">
        <f>'2-Data Input &amp; Assumptions'!C211/1000</f>
        <v>0</v>
      </c>
      <c r="R80" s="16">
        <f>'2-Data Input &amp; Assumptions'!D211/1000</f>
        <v>0</v>
      </c>
      <c r="S80" s="16">
        <f>'2-Data Input &amp; Assumptions'!E211/1000</f>
        <v>0</v>
      </c>
      <c r="T80" s="16">
        <f>'2-Data Input &amp; Assumptions'!F211/1000</f>
        <v>0</v>
      </c>
      <c r="U80" s="16">
        <f>'2-Data Input &amp; Assumptions'!G211/1000</f>
        <v>0</v>
      </c>
      <c r="V80" s="16">
        <f>'2-Data Input &amp; Assumptions'!H211/1000</f>
        <v>0</v>
      </c>
      <c r="W80" s="16">
        <f>'2-Data Input &amp; Assumptions'!I211/1000</f>
        <v>0</v>
      </c>
      <c r="X80" s="16">
        <f>'2-Data Input &amp; Assumptions'!J211/1000</f>
        <v>0</v>
      </c>
      <c r="Y80" s="16">
        <f>'2-Data Input &amp; Assumptions'!K211/1000</f>
        <v>0</v>
      </c>
      <c r="Z80" s="16">
        <f>'2-Data Input &amp; Assumptions'!L211/1000</f>
        <v>0</v>
      </c>
      <c r="AA80" s="16">
        <f>'2-Data Input &amp; Assumptions'!M211/1000</f>
        <v>0</v>
      </c>
      <c r="AB80" s="80">
        <f>'2-Data Input &amp; Assumptions'!N211/1000</f>
        <v>0</v>
      </c>
      <c r="AC80" s="16">
        <f>Q80*(1+'2-Data Input &amp; Assumptions'!$G253)</f>
        <v>0</v>
      </c>
      <c r="AD80" s="16">
        <f>R80*(1+'2-Data Input &amp; Assumptions'!$G253)</f>
        <v>0</v>
      </c>
      <c r="AE80" s="16">
        <f>S80*(1+'2-Data Input &amp; Assumptions'!$G253)</f>
        <v>0</v>
      </c>
      <c r="AF80" s="16">
        <f>T80*(1+'2-Data Input &amp; Assumptions'!$G253)</f>
        <v>0</v>
      </c>
      <c r="AG80" s="16">
        <f>U80*(1+'2-Data Input &amp; Assumptions'!$G253)</f>
        <v>0</v>
      </c>
      <c r="AH80" s="16">
        <f>V80*(1+'2-Data Input &amp; Assumptions'!$G253)</f>
        <v>0</v>
      </c>
      <c r="AI80" s="16">
        <f>W80*(1+'2-Data Input &amp; Assumptions'!$G253)</f>
        <v>0</v>
      </c>
      <c r="AJ80" s="16">
        <f>X80*(1+'2-Data Input &amp; Assumptions'!$G253)</f>
        <v>0</v>
      </c>
      <c r="AK80" s="16">
        <f>Y80*(1+'2-Data Input &amp; Assumptions'!$G253)</f>
        <v>0</v>
      </c>
      <c r="AL80" s="16">
        <f>Z80*(1+'2-Data Input &amp; Assumptions'!$G253)</f>
        <v>0</v>
      </c>
      <c r="AM80" s="16">
        <f>AA80*(1+'2-Data Input &amp; Assumptions'!$G253)</f>
        <v>0</v>
      </c>
      <c r="AN80" s="16">
        <f>AB80*(1+'2-Data Input &amp; Assumptions'!$G253)</f>
        <v>0</v>
      </c>
    </row>
    <row r="81" spans="2:45" x14ac:dyDescent="0.3">
      <c r="B81" s="22"/>
      <c r="D81" s="15" t="str">
        <f>'2-Data Input &amp; Assumptions'!A44</f>
        <v>OTHER NON-RECURRING USES</v>
      </c>
      <c r="E81" s="16">
        <f>'2-Data Input &amp; Assumptions'!C169/1000</f>
        <v>0</v>
      </c>
      <c r="F81" s="16">
        <f>'2-Data Input &amp; Assumptions'!D169/1000</f>
        <v>0</v>
      </c>
      <c r="G81" s="16">
        <f>'2-Data Input &amp; Assumptions'!E169/1000</f>
        <v>0</v>
      </c>
      <c r="H81" s="16">
        <f>'2-Data Input &amp; Assumptions'!F169/1000</f>
        <v>0</v>
      </c>
      <c r="I81" s="16">
        <f>'2-Data Input &amp; Assumptions'!G169/1000</f>
        <v>0</v>
      </c>
      <c r="J81" s="16">
        <f>'2-Data Input &amp; Assumptions'!H169/1000</f>
        <v>0</v>
      </c>
      <c r="K81" s="16">
        <f>'2-Data Input &amp; Assumptions'!I169/1000</f>
        <v>0</v>
      </c>
      <c r="L81" s="16">
        <f>'2-Data Input &amp; Assumptions'!J169/1000</f>
        <v>0</v>
      </c>
      <c r="M81" s="16">
        <f>'2-Data Input &amp; Assumptions'!K169/1000</f>
        <v>0</v>
      </c>
      <c r="N81" s="16">
        <f>'2-Data Input &amp; Assumptions'!L169/1000</f>
        <v>0</v>
      </c>
      <c r="O81" s="16">
        <f>'2-Data Input &amp; Assumptions'!M169/1000</f>
        <v>0</v>
      </c>
      <c r="P81" s="80">
        <f>'2-Data Input &amp; Assumptions'!N169/1000</f>
        <v>0</v>
      </c>
      <c r="Q81" s="16">
        <f>'2-Data Input &amp; Assumptions'!C212/1000</f>
        <v>0</v>
      </c>
      <c r="R81" s="16">
        <f>'2-Data Input &amp; Assumptions'!D212/1000</f>
        <v>0</v>
      </c>
      <c r="S81" s="16">
        <f>'2-Data Input &amp; Assumptions'!E212/1000</f>
        <v>0</v>
      </c>
      <c r="T81" s="16">
        <f>'2-Data Input &amp; Assumptions'!F212/1000</f>
        <v>0</v>
      </c>
      <c r="U81" s="16">
        <f>'2-Data Input &amp; Assumptions'!G212/1000</f>
        <v>0</v>
      </c>
      <c r="V81" s="16">
        <f>'2-Data Input &amp; Assumptions'!H212/1000</f>
        <v>0</v>
      </c>
      <c r="W81" s="16">
        <f>'2-Data Input &amp; Assumptions'!I212/1000</f>
        <v>0</v>
      </c>
      <c r="X81" s="16">
        <f>'2-Data Input &amp; Assumptions'!J212/1000</f>
        <v>0</v>
      </c>
      <c r="Y81" s="16">
        <f>'2-Data Input &amp; Assumptions'!K212/1000</f>
        <v>0</v>
      </c>
      <c r="Z81" s="16">
        <f>'2-Data Input &amp; Assumptions'!L212/1000</f>
        <v>0</v>
      </c>
      <c r="AA81" s="16">
        <f>'2-Data Input &amp; Assumptions'!M212/1000</f>
        <v>0</v>
      </c>
      <c r="AB81" s="80">
        <f>'2-Data Input &amp; Assumptions'!N212/1000</f>
        <v>0</v>
      </c>
      <c r="AC81" s="16">
        <f>Q81*(1+'2-Data Input &amp; Assumptions'!$G254)</f>
        <v>0</v>
      </c>
      <c r="AD81" s="16">
        <f>R81*(1+'2-Data Input &amp; Assumptions'!$G254)</f>
        <v>0</v>
      </c>
      <c r="AE81" s="16">
        <f>S81*(1+'2-Data Input &amp; Assumptions'!$G254)</f>
        <v>0</v>
      </c>
      <c r="AF81" s="16">
        <f>T81*(1+'2-Data Input &amp; Assumptions'!$G254)</f>
        <v>0</v>
      </c>
      <c r="AG81" s="16">
        <f>U81*(1+'2-Data Input &amp; Assumptions'!$G254)</f>
        <v>0</v>
      </c>
      <c r="AH81" s="16">
        <f>V81*(1+'2-Data Input &amp; Assumptions'!$G254)</f>
        <v>0</v>
      </c>
      <c r="AI81" s="16">
        <f>W81*(1+'2-Data Input &amp; Assumptions'!$G254)</f>
        <v>0</v>
      </c>
      <c r="AJ81" s="16">
        <f>X81*(1+'2-Data Input &amp; Assumptions'!$G254)</f>
        <v>0</v>
      </c>
      <c r="AK81" s="16">
        <f>Y81*(1+'2-Data Input &amp; Assumptions'!$G254)</f>
        <v>0</v>
      </c>
      <c r="AL81" s="16">
        <f>Z81*(1+'2-Data Input &amp; Assumptions'!$G254)</f>
        <v>0</v>
      </c>
      <c r="AM81" s="16">
        <f>AA81*(1+'2-Data Input &amp; Assumptions'!$G254)</f>
        <v>0</v>
      </c>
      <c r="AN81" s="16">
        <f>AB81*(1+'2-Data Input &amp; Assumptions'!$G254)</f>
        <v>0</v>
      </c>
    </row>
    <row r="82" spans="2:45" ht="15" thickBot="1" x14ac:dyDescent="0.35">
      <c r="B82" s="17"/>
      <c r="C82" s="18"/>
      <c r="D82" s="19" t="s">
        <v>3</v>
      </c>
      <c r="E82" s="20">
        <f>SUM(E65:E81)</f>
        <v>37230.442999999999</v>
      </c>
      <c r="F82" s="20">
        <f t="shared" ref="F82:Q82" si="21">SUM(F65:F81)</f>
        <v>68982.453999999998</v>
      </c>
      <c r="G82" s="20">
        <f t="shared" si="21"/>
        <v>49468.387999999999</v>
      </c>
      <c r="H82" s="20">
        <f t="shared" si="21"/>
        <v>32020.799999999999</v>
      </c>
      <c r="I82" s="20">
        <f t="shared" si="21"/>
        <v>83970.700000000012</v>
      </c>
      <c r="J82" s="20">
        <f t="shared" si="21"/>
        <v>135918.40000000002</v>
      </c>
      <c r="K82" s="20">
        <f t="shared" si="21"/>
        <v>144180</v>
      </c>
      <c r="L82" s="20">
        <f t="shared" si="21"/>
        <v>39553.199999999997</v>
      </c>
      <c r="M82" s="20">
        <f t="shared" si="21"/>
        <v>38701.799999999996</v>
      </c>
      <c r="N82" s="20">
        <f t="shared" si="21"/>
        <v>84867.700000000012</v>
      </c>
      <c r="O82" s="20">
        <f t="shared" si="21"/>
        <v>110566.3</v>
      </c>
      <c r="P82" s="81">
        <f t="shared" si="21"/>
        <v>130970.70000000001</v>
      </c>
      <c r="Q82" s="20">
        <f t="shared" si="21"/>
        <v>39024.236130544741</v>
      </c>
      <c r="R82" s="20">
        <f t="shared" ref="R82:AA82" si="22">SUM(R65:R81)</f>
        <v>42573.219370467777</v>
      </c>
      <c r="S82" s="20">
        <f t="shared" si="22"/>
        <v>30904.156770250549</v>
      </c>
      <c r="T82" s="20">
        <f t="shared" si="22"/>
        <v>34614.452159123888</v>
      </c>
      <c r="U82" s="20">
        <f t="shared" si="22"/>
        <v>87832.714622932283</v>
      </c>
      <c r="V82" s="20">
        <f t="shared" si="22"/>
        <v>145340.64884836352</v>
      </c>
      <c r="W82" s="20">
        <f t="shared" si="22"/>
        <v>142290.13505152156</v>
      </c>
      <c r="X82" s="20">
        <f t="shared" si="22"/>
        <v>41007.736868756321</v>
      </c>
      <c r="Y82" s="20">
        <f t="shared" si="22"/>
        <v>37649.426003633467</v>
      </c>
      <c r="Z82" s="20">
        <f t="shared" si="22"/>
        <v>87387.655712448206</v>
      </c>
      <c r="AA82" s="20">
        <f t="shared" si="22"/>
        <v>164255.82540974952</v>
      </c>
      <c r="AB82" s="81">
        <f t="shared" ref="AB82:AN82" si="23">SUM(AB65:AB81)</f>
        <v>84003.286716319097</v>
      </c>
      <c r="AC82" s="20">
        <f t="shared" si="23"/>
        <v>40380.901833403681</v>
      </c>
      <c r="AD82" s="20">
        <f t="shared" si="23"/>
        <v>43631.216449469961</v>
      </c>
      <c r="AE82" s="20">
        <f t="shared" si="23"/>
        <v>32028.126605196692</v>
      </c>
      <c r="AF82" s="20">
        <f t="shared" si="23"/>
        <v>35783.833745770142</v>
      </c>
      <c r="AG82" s="20">
        <f t="shared" si="23"/>
        <v>90672.928386277214</v>
      </c>
      <c r="AH82" s="20">
        <f t="shared" si="23"/>
        <v>148709.33542636581</v>
      </c>
      <c r="AI82" s="20">
        <f t="shared" si="23"/>
        <v>146677.09859150191</v>
      </c>
      <c r="AJ82" s="20">
        <f t="shared" si="23"/>
        <v>42330.158946112293</v>
      </c>
      <c r="AK82" s="20">
        <f t="shared" si="23"/>
        <v>38899.227060561105</v>
      </c>
      <c r="AL82" s="20">
        <f t="shared" si="23"/>
        <v>90176.718537761597</v>
      </c>
      <c r="AM82" s="20">
        <f t="shared" si="23"/>
        <v>168269.77344430686</v>
      </c>
      <c r="AN82" s="20">
        <f t="shared" si="23"/>
        <v>86628.519636383673</v>
      </c>
      <c r="AP82" s="5"/>
    </row>
    <row r="83" spans="2:45" s="26" customFormat="1" x14ac:dyDescent="0.3">
      <c r="B83" s="64"/>
      <c r="C83" s="65"/>
      <c r="D83" s="66" t="s">
        <v>2</v>
      </c>
      <c r="E83" s="65">
        <f t="shared" ref="E83:AA83" si="24">IF(E85&gt;0.1,E85,0)</f>
        <v>69253.859999999986</v>
      </c>
      <c r="F83" s="65">
        <f t="shared" si="24"/>
        <v>44229.493999999977</v>
      </c>
      <c r="G83" s="65">
        <f t="shared" si="24"/>
        <v>22912.352999999981</v>
      </c>
      <c r="H83" s="65">
        <f t="shared" si="24"/>
        <v>127885.17</v>
      </c>
      <c r="I83" s="65">
        <f t="shared" si="24"/>
        <v>227090.68800000002</v>
      </c>
      <c r="J83" s="65">
        <f t="shared" si="24"/>
        <v>179871.87600000005</v>
      </c>
      <c r="K83" s="65">
        <f t="shared" si="24"/>
        <v>70732.965000000055</v>
      </c>
      <c r="L83" s="65">
        <f t="shared" si="24"/>
        <v>64694.220000000059</v>
      </c>
      <c r="M83" s="65">
        <f t="shared" si="24"/>
        <v>97239.478000000061</v>
      </c>
      <c r="N83" s="65">
        <f t="shared" si="24"/>
        <v>230677.14000000007</v>
      </c>
      <c r="O83" s="65">
        <f t="shared" si="24"/>
        <v>196369.59300000011</v>
      </c>
      <c r="P83" s="82">
        <f t="shared" si="24"/>
        <v>95346.972000000096</v>
      </c>
      <c r="Q83" s="65">
        <f t="shared" si="24"/>
        <v>86308.095267721073</v>
      </c>
      <c r="R83" s="65">
        <f t="shared" si="24"/>
        <v>86680.258173176597</v>
      </c>
      <c r="S83" s="65">
        <f t="shared" si="24"/>
        <v>95959.622343127645</v>
      </c>
      <c r="T83" s="65">
        <f t="shared" si="24"/>
        <v>198622.9297566411</v>
      </c>
      <c r="U83" s="65">
        <f t="shared" si="24"/>
        <v>288385.82523348869</v>
      </c>
      <c r="V83" s="65">
        <f t="shared" si="24"/>
        <v>223734.72143425388</v>
      </c>
      <c r="W83" s="65">
        <f t="shared" si="24"/>
        <v>122889.75114955791</v>
      </c>
      <c r="X83" s="65">
        <f t="shared" si="24"/>
        <v>114225.85640978388</v>
      </c>
      <c r="Y83" s="65">
        <f t="shared" si="24"/>
        <v>139783.69638784049</v>
      </c>
      <c r="Z83" s="65">
        <f t="shared" si="24"/>
        <v>263182.66063281684</v>
      </c>
      <c r="AA83" s="65">
        <f t="shared" si="24"/>
        <v>185042.6149462749</v>
      </c>
      <c r="AB83" s="82">
        <f t="shared" ref="AB83:AN83" si="25">IF(AB85&gt;0.1,AB85,0)</f>
        <v>141127.54747588915</v>
      </c>
      <c r="AC83" s="65">
        <f t="shared" si="25"/>
        <v>130968.00860875228</v>
      </c>
      <c r="AD83" s="65">
        <f t="shared" si="25"/>
        <v>130474.93552466857</v>
      </c>
      <c r="AE83" s="65">
        <f t="shared" si="25"/>
        <v>139040.1407020617</v>
      </c>
      <c r="AF83" s="65">
        <f t="shared" si="25"/>
        <v>244286.1678013003</v>
      </c>
      <c r="AG83" s="65">
        <f t="shared" si="25"/>
        <v>335985.97188290843</v>
      </c>
      <c r="AH83" s="65">
        <f t="shared" si="25"/>
        <v>268323.93085608375</v>
      </c>
      <c r="AI83" s="65">
        <f t="shared" si="25"/>
        <v>163537.05363797318</v>
      </c>
      <c r="AJ83" s="65">
        <f t="shared" si="25"/>
        <v>153870.57604306555</v>
      </c>
      <c r="AK83" s="65">
        <f t="shared" si="25"/>
        <v>179695.19162346495</v>
      </c>
      <c r="AL83" s="65">
        <f t="shared" si="25"/>
        <v>306239.93827802222</v>
      </c>
      <c r="AM83" s="65">
        <f t="shared" si="25"/>
        <v>224443.00477459619</v>
      </c>
      <c r="AN83" s="65">
        <f t="shared" si="25"/>
        <v>178220.76047097804</v>
      </c>
    </row>
    <row r="84" spans="2:45" s="26" customFormat="1" x14ac:dyDescent="0.3">
      <c r="B84" s="23"/>
      <c r="C84" s="24"/>
      <c r="D84" s="25" t="s">
        <v>1</v>
      </c>
      <c r="E84" s="24">
        <f t="shared" ref="E84:AN84" si="26">IF(E85&lt;0.001,E85,0)</f>
        <v>0</v>
      </c>
      <c r="F84" s="24">
        <f t="shared" si="26"/>
        <v>0</v>
      </c>
      <c r="G84" s="24">
        <f t="shared" si="26"/>
        <v>0</v>
      </c>
      <c r="H84" s="24">
        <f t="shared" si="26"/>
        <v>0</v>
      </c>
      <c r="I84" s="24">
        <f t="shared" si="26"/>
        <v>0</v>
      </c>
      <c r="J84" s="24">
        <f t="shared" si="26"/>
        <v>0</v>
      </c>
      <c r="K84" s="24">
        <f t="shared" si="26"/>
        <v>0</v>
      </c>
      <c r="L84" s="24">
        <f t="shared" si="26"/>
        <v>0</v>
      </c>
      <c r="M84" s="24">
        <f t="shared" si="26"/>
        <v>0</v>
      </c>
      <c r="N84" s="24">
        <f t="shared" si="26"/>
        <v>0</v>
      </c>
      <c r="O84" s="24">
        <f t="shared" si="26"/>
        <v>0</v>
      </c>
      <c r="P84" s="83">
        <f t="shared" si="26"/>
        <v>0</v>
      </c>
      <c r="Q84" s="24">
        <f t="shared" si="26"/>
        <v>0</v>
      </c>
      <c r="R84" s="24">
        <f t="shared" si="26"/>
        <v>0</v>
      </c>
      <c r="S84" s="24">
        <f t="shared" si="26"/>
        <v>0</v>
      </c>
      <c r="T84" s="24">
        <f t="shared" si="26"/>
        <v>0</v>
      </c>
      <c r="U84" s="24">
        <f t="shared" si="26"/>
        <v>0</v>
      </c>
      <c r="V84" s="24">
        <f t="shared" si="26"/>
        <v>0</v>
      </c>
      <c r="W84" s="24">
        <f t="shared" si="26"/>
        <v>0</v>
      </c>
      <c r="X84" s="24">
        <f t="shared" si="26"/>
        <v>0</v>
      </c>
      <c r="Y84" s="24">
        <f t="shared" si="26"/>
        <v>0</v>
      </c>
      <c r="Z84" s="24">
        <f t="shared" si="26"/>
        <v>0</v>
      </c>
      <c r="AA84" s="24">
        <f t="shared" si="26"/>
        <v>0</v>
      </c>
      <c r="AB84" s="83">
        <f t="shared" si="26"/>
        <v>0</v>
      </c>
      <c r="AC84" s="24">
        <f t="shared" si="26"/>
        <v>0</v>
      </c>
      <c r="AD84" s="24">
        <f t="shared" si="26"/>
        <v>0</v>
      </c>
      <c r="AE84" s="24">
        <f t="shared" si="26"/>
        <v>0</v>
      </c>
      <c r="AF84" s="24">
        <f t="shared" si="26"/>
        <v>0</v>
      </c>
      <c r="AG84" s="24">
        <f t="shared" si="26"/>
        <v>0</v>
      </c>
      <c r="AH84" s="24">
        <f t="shared" si="26"/>
        <v>0</v>
      </c>
      <c r="AI84" s="24">
        <f t="shared" si="26"/>
        <v>0</v>
      </c>
      <c r="AJ84" s="24">
        <f t="shared" si="26"/>
        <v>0</v>
      </c>
      <c r="AK84" s="24">
        <f t="shared" si="26"/>
        <v>0</v>
      </c>
      <c r="AL84" s="24">
        <f t="shared" si="26"/>
        <v>0</v>
      </c>
      <c r="AM84" s="24">
        <f t="shared" si="26"/>
        <v>0</v>
      </c>
      <c r="AN84" s="24">
        <f t="shared" si="26"/>
        <v>0</v>
      </c>
      <c r="AP84"/>
      <c r="AQ84" s="5"/>
      <c r="AR84" s="5"/>
      <c r="AS84" s="5"/>
    </row>
    <row r="85" spans="2:45" s="24" customFormat="1" ht="15" thickBot="1" x14ac:dyDescent="0.35">
      <c r="B85" s="27"/>
      <c r="C85" s="28"/>
      <c r="D85" s="67" t="s">
        <v>0</v>
      </c>
      <c r="E85" s="28">
        <f>C46+E64-E82</f>
        <v>69253.859999999986</v>
      </c>
      <c r="F85" s="28">
        <f t="shared" ref="F85:AN85" si="27">E85+F64-F82</f>
        <v>44229.493999999977</v>
      </c>
      <c r="G85" s="28">
        <f t="shared" si="27"/>
        <v>22912.352999999981</v>
      </c>
      <c r="H85" s="28">
        <f t="shared" si="27"/>
        <v>127885.17</v>
      </c>
      <c r="I85" s="28">
        <f t="shared" si="27"/>
        <v>227090.68800000002</v>
      </c>
      <c r="J85" s="28">
        <f t="shared" si="27"/>
        <v>179871.87600000005</v>
      </c>
      <c r="K85" s="28">
        <f t="shared" si="27"/>
        <v>70732.965000000055</v>
      </c>
      <c r="L85" s="28">
        <f t="shared" si="27"/>
        <v>64694.220000000059</v>
      </c>
      <c r="M85" s="28">
        <f t="shared" si="27"/>
        <v>97239.478000000061</v>
      </c>
      <c r="N85" s="28">
        <f t="shared" si="27"/>
        <v>230677.14000000007</v>
      </c>
      <c r="O85" s="28">
        <f t="shared" si="27"/>
        <v>196369.59300000011</v>
      </c>
      <c r="P85" s="84">
        <f t="shared" si="27"/>
        <v>95346.972000000096</v>
      </c>
      <c r="Q85" s="28">
        <f t="shared" si="27"/>
        <v>86308.095267721073</v>
      </c>
      <c r="R85" s="28">
        <f t="shared" si="27"/>
        <v>86680.258173176597</v>
      </c>
      <c r="S85" s="28">
        <f t="shared" si="27"/>
        <v>95959.622343127645</v>
      </c>
      <c r="T85" s="28">
        <f t="shared" si="27"/>
        <v>198622.9297566411</v>
      </c>
      <c r="U85" s="28">
        <f t="shared" si="27"/>
        <v>288385.82523348869</v>
      </c>
      <c r="V85" s="28">
        <f t="shared" si="27"/>
        <v>223734.72143425388</v>
      </c>
      <c r="W85" s="28">
        <f t="shared" si="27"/>
        <v>122889.75114955791</v>
      </c>
      <c r="X85" s="28">
        <f t="shared" si="27"/>
        <v>114225.85640978388</v>
      </c>
      <c r="Y85" s="28">
        <f t="shared" si="27"/>
        <v>139783.69638784049</v>
      </c>
      <c r="Z85" s="28">
        <f t="shared" si="27"/>
        <v>263182.66063281684</v>
      </c>
      <c r="AA85" s="28">
        <f t="shared" si="27"/>
        <v>185042.6149462749</v>
      </c>
      <c r="AB85" s="84">
        <f t="shared" si="27"/>
        <v>141127.54747588915</v>
      </c>
      <c r="AC85" s="28">
        <f t="shared" si="27"/>
        <v>130968.00860875228</v>
      </c>
      <c r="AD85" s="28">
        <f t="shared" si="27"/>
        <v>130474.93552466857</v>
      </c>
      <c r="AE85" s="28">
        <f t="shared" si="27"/>
        <v>139040.1407020617</v>
      </c>
      <c r="AF85" s="28">
        <f t="shared" si="27"/>
        <v>244286.1678013003</v>
      </c>
      <c r="AG85" s="28">
        <f t="shared" si="27"/>
        <v>335985.97188290843</v>
      </c>
      <c r="AH85" s="28">
        <f t="shared" si="27"/>
        <v>268323.93085608375</v>
      </c>
      <c r="AI85" s="28">
        <f t="shared" si="27"/>
        <v>163537.05363797318</v>
      </c>
      <c r="AJ85" s="28">
        <f t="shared" si="27"/>
        <v>153870.57604306555</v>
      </c>
      <c r="AK85" s="28">
        <f t="shared" si="27"/>
        <v>179695.19162346495</v>
      </c>
      <c r="AL85" s="28">
        <f t="shared" si="27"/>
        <v>306239.93827802222</v>
      </c>
      <c r="AM85" s="28">
        <f t="shared" si="27"/>
        <v>224443.00477459619</v>
      </c>
      <c r="AN85" s="28">
        <f t="shared" si="27"/>
        <v>178220.76047097804</v>
      </c>
      <c r="AP85"/>
      <c r="AQ85" s="5"/>
      <c r="AR85" s="5"/>
      <c r="AS85" s="5"/>
    </row>
    <row r="86" spans="2:45" x14ac:dyDescent="0.3">
      <c r="B86" s="6"/>
      <c r="AQ86" s="5"/>
      <c r="AR86" s="5"/>
      <c r="AS86" s="5"/>
    </row>
    <row r="87" spans="2:45" x14ac:dyDescent="0.3">
      <c r="B87" s="29" t="str">
        <f>CONCATENATE(A1," ",A2)</f>
        <v>MONTHLY CASH FLOW ESTIMATE - GENERAL FUND FOR FISCAL YEAR ENDING-JUN-2025</v>
      </c>
    </row>
    <row r="88" spans="2:45" x14ac:dyDescent="0.3">
      <c r="B88" s="7"/>
    </row>
    <row r="90" spans="2:45" x14ac:dyDescent="0.3">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row>
    <row r="91" spans="2:45" x14ac:dyDescent="0.3">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row>
    <row r="92" spans="2:45" x14ac:dyDescent="0.3">
      <c r="E92" s="75"/>
      <c r="F92" s="75"/>
      <c r="G92" s="75"/>
      <c r="H92" s="75"/>
      <c r="I92" s="75"/>
    </row>
  </sheetData>
  <phoneticPr fontId="23" type="noConversion"/>
  <pageMargins left="0.7" right="0.7" top="0.75" bottom="0.75" header="0.3" footer="0.3"/>
  <pageSetup scale="48" orientation="landscape" horizontalDpi="4294967295" verticalDpi="4294967295" r:id="rId1"/>
  <headerFooter>
    <oddHeader>&amp;F</oddHeader>
    <oddFooter>&amp;C&amp;A&amp;R&amp;P</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36"/>
  <sheetViews>
    <sheetView zoomScale="90" zoomScaleNormal="90" workbookViewId="0">
      <pane ySplit="1" topLeftCell="A2" activePane="bottomLeft" state="frozen"/>
      <selection pane="bottomLeft"/>
    </sheetView>
  </sheetViews>
  <sheetFormatPr defaultColWidth="8.6640625" defaultRowHeight="14.4" x14ac:dyDescent="0.3"/>
  <cols>
    <col min="1" max="1" width="40" customWidth="1"/>
    <col min="2" max="5" width="50.6640625" customWidth="1"/>
  </cols>
  <sheetData>
    <row r="1" spans="1:7" ht="18.600000000000001" thickBot="1" x14ac:dyDescent="0.4">
      <c r="A1" s="48" t="s">
        <v>14</v>
      </c>
      <c r="B1" s="49" t="s">
        <v>15</v>
      </c>
      <c r="C1" s="49" t="s">
        <v>16</v>
      </c>
      <c r="D1" s="49" t="s">
        <v>17</v>
      </c>
      <c r="E1" s="50" t="s">
        <v>18</v>
      </c>
    </row>
    <row r="2" spans="1:7" s="41" customFormat="1" ht="28.8" x14ac:dyDescent="0.3">
      <c r="A2" s="38" t="s">
        <v>19</v>
      </c>
      <c r="B2" s="39" t="s">
        <v>20</v>
      </c>
      <c r="C2" s="39" t="s">
        <v>21</v>
      </c>
      <c r="D2" s="39" t="s">
        <v>22</v>
      </c>
      <c r="E2" s="40" t="s">
        <v>23</v>
      </c>
    </row>
    <row r="3" spans="1:7" s="41" customFormat="1" ht="15.6" x14ac:dyDescent="0.3">
      <c r="A3" s="42"/>
      <c r="B3" s="43"/>
      <c r="C3" s="43"/>
      <c r="D3" s="43"/>
      <c r="E3" s="44"/>
    </row>
    <row r="4" spans="1:7" s="41" customFormat="1" ht="43.2" x14ac:dyDescent="0.3">
      <c r="A4" s="38" t="s">
        <v>24</v>
      </c>
      <c r="B4" s="39" t="s">
        <v>25</v>
      </c>
      <c r="C4" s="39" t="s">
        <v>26</v>
      </c>
      <c r="D4" s="39" t="s">
        <v>27</v>
      </c>
      <c r="E4" s="40" t="s">
        <v>28</v>
      </c>
      <c r="G4" s="45"/>
    </row>
    <row r="5" spans="1:7" s="41" customFormat="1" ht="15.6" x14ac:dyDescent="0.3">
      <c r="A5" s="42"/>
      <c r="B5" s="43"/>
      <c r="C5" s="43"/>
      <c r="D5" s="43"/>
      <c r="E5" s="44"/>
    </row>
    <row r="6" spans="1:7" s="41" customFormat="1" ht="43.2" x14ac:dyDescent="0.3">
      <c r="A6" s="38" t="s">
        <v>29</v>
      </c>
      <c r="B6" s="39" t="s">
        <v>30</v>
      </c>
      <c r="C6" s="39" t="s">
        <v>31</v>
      </c>
      <c r="D6" s="39" t="s">
        <v>32</v>
      </c>
      <c r="E6" s="40" t="s">
        <v>23</v>
      </c>
    </row>
    <row r="7" spans="1:7" s="41" customFormat="1" ht="15.6" x14ac:dyDescent="0.3">
      <c r="A7" s="42"/>
      <c r="B7" s="43"/>
      <c r="C7" s="43"/>
      <c r="D7" s="43"/>
      <c r="E7" s="44"/>
    </row>
    <row r="8" spans="1:7" s="41" customFormat="1" ht="43.2" x14ac:dyDescent="0.3">
      <c r="A8" s="38" t="s">
        <v>33</v>
      </c>
      <c r="B8" s="39" t="s">
        <v>34</v>
      </c>
      <c r="C8" s="39" t="s">
        <v>35</v>
      </c>
      <c r="D8" s="39" t="s">
        <v>27</v>
      </c>
      <c r="E8" s="40" t="s">
        <v>28</v>
      </c>
    </row>
    <row r="9" spans="1:7" s="41" customFormat="1" ht="15.6" x14ac:dyDescent="0.3">
      <c r="A9" s="42"/>
      <c r="B9" s="43"/>
      <c r="C9" s="43"/>
      <c r="D9" s="43"/>
      <c r="E9" s="44"/>
    </row>
    <row r="10" spans="1:7" s="41" customFormat="1" ht="28.8" x14ac:dyDescent="0.3">
      <c r="A10" s="38" t="s">
        <v>36</v>
      </c>
      <c r="B10" s="39" t="s">
        <v>37</v>
      </c>
      <c r="C10" s="39" t="s">
        <v>38</v>
      </c>
      <c r="D10" s="39" t="s">
        <v>39</v>
      </c>
      <c r="E10" s="40" t="s">
        <v>23</v>
      </c>
    </row>
    <row r="11" spans="1:7" s="41" customFormat="1" ht="15.6" x14ac:dyDescent="0.3">
      <c r="A11" s="42"/>
      <c r="B11" s="43"/>
      <c r="C11" s="43"/>
      <c r="D11" s="43"/>
      <c r="E11" s="44"/>
    </row>
    <row r="12" spans="1:7" s="41" customFormat="1" ht="43.2" x14ac:dyDescent="0.3">
      <c r="A12" s="38" t="s">
        <v>40</v>
      </c>
      <c r="B12" s="39" t="s">
        <v>41</v>
      </c>
      <c r="C12" s="39" t="s">
        <v>42</v>
      </c>
      <c r="D12" s="39" t="s">
        <v>39</v>
      </c>
      <c r="E12" s="40" t="s">
        <v>27</v>
      </c>
    </row>
    <row r="13" spans="1:7" s="41" customFormat="1" ht="15.6" x14ac:dyDescent="0.3">
      <c r="A13" s="42"/>
      <c r="B13" s="43"/>
      <c r="C13" s="43"/>
      <c r="D13" s="43"/>
      <c r="E13" s="44"/>
    </row>
    <row r="14" spans="1:7" s="41" customFormat="1" ht="43.2" x14ac:dyDescent="0.3">
      <c r="A14" s="38" t="s">
        <v>43</v>
      </c>
      <c r="B14" s="39" t="s">
        <v>44</v>
      </c>
      <c r="C14" s="39" t="s">
        <v>45</v>
      </c>
      <c r="D14" s="39" t="s">
        <v>46</v>
      </c>
      <c r="E14" s="40" t="s">
        <v>27</v>
      </c>
    </row>
    <row r="15" spans="1:7" s="41" customFormat="1" ht="15.6" x14ac:dyDescent="0.3">
      <c r="A15" s="42"/>
      <c r="B15" s="43"/>
      <c r="C15" s="43"/>
      <c r="D15" s="43"/>
      <c r="E15" s="44"/>
    </row>
    <row r="16" spans="1:7" s="41" customFormat="1" ht="28.8" x14ac:dyDescent="0.3">
      <c r="A16" s="38" t="s">
        <v>47</v>
      </c>
      <c r="B16" s="39" t="s">
        <v>48</v>
      </c>
      <c r="C16" s="39" t="s">
        <v>49</v>
      </c>
      <c r="D16" s="39" t="s">
        <v>50</v>
      </c>
      <c r="E16" s="40" t="s">
        <v>51</v>
      </c>
    </row>
    <row r="17" spans="1:5" s="41" customFormat="1" ht="15.6" x14ac:dyDescent="0.3">
      <c r="A17" s="42"/>
      <c r="B17" s="43"/>
      <c r="C17" s="43"/>
      <c r="D17" s="43"/>
      <c r="E17" s="44"/>
    </row>
    <row r="18" spans="1:5" s="41" customFormat="1" ht="28.8" x14ac:dyDescent="0.3">
      <c r="A18" s="38" t="s">
        <v>52</v>
      </c>
      <c r="B18" s="39" t="s">
        <v>53</v>
      </c>
      <c r="C18" s="39" t="s">
        <v>54</v>
      </c>
      <c r="D18" s="39" t="s">
        <v>55</v>
      </c>
      <c r="E18" s="40" t="s">
        <v>56</v>
      </c>
    </row>
    <row r="19" spans="1:5" s="41" customFormat="1" ht="15.6" x14ac:dyDescent="0.3">
      <c r="A19" s="42"/>
      <c r="B19" s="43"/>
      <c r="C19" s="43"/>
      <c r="D19" s="43"/>
      <c r="E19" s="44"/>
    </row>
    <row r="20" spans="1:5" s="41" customFormat="1" ht="28.8" x14ac:dyDescent="0.3">
      <c r="A20" s="38" t="s">
        <v>57</v>
      </c>
      <c r="B20" s="39" t="s">
        <v>58</v>
      </c>
      <c r="C20" s="39" t="s">
        <v>59</v>
      </c>
      <c r="D20" s="39" t="s">
        <v>60</v>
      </c>
      <c r="E20" s="40" t="s">
        <v>61</v>
      </c>
    </row>
    <row r="21" spans="1:5" s="41" customFormat="1" ht="15.6" x14ac:dyDescent="0.3">
      <c r="A21" s="42"/>
      <c r="B21" s="43"/>
      <c r="C21" s="43"/>
      <c r="D21" s="43"/>
      <c r="E21" s="44"/>
    </row>
    <row r="22" spans="1:5" s="41" customFormat="1" ht="28.8" x14ac:dyDescent="0.3">
      <c r="A22" s="38" t="s">
        <v>62</v>
      </c>
      <c r="B22" s="39" t="s">
        <v>63</v>
      </c>
      <c r="C22" s="39" t="s">
        <v>64</v>
      </c>
      <c r="D22" s="39" t="s">
        <v>60</v>
      </c>
      <c r="E22" s="40" t="s">
        <v>65</v>
      </c>
    </row>
    <row r="23" spans="1:5" s="41" customFormat="1" ht="15.6" x14ac:dyDescent="0.3">
      <c r="A23" s="42"/>
      <c r="B23" s="43"/>
      <c r="C23" s="43"/>
      <c r="D23" s="43"/>
      <c r="E23" s="44"/>
    </row>
    <row r="24" spans="1:5" s="41" customFormat="1" ht="57.6" x14ac:dyDescent="0.3">
      <c r="A24" s="38" t="s">
        <v>66</v>
      </c>
      <c r="B24" s="39" t="s">
        <v>67</v>
      </c>
      <c r="C24" s="39" t="s">
        <v>68</v>
      </c>
      <c r="D24" s="39" t="s">
        <v>60</v>
      </c>
      <c r="E24" s="40" t="s">
        <v>69</v>
      </c>
    </row>
    <row r="25" spans="1:5" s="41" customFormat="1" ht="15.6" x14ac:dyDescent="0.3">
      <c r="A25" s="42"/>
      <c r="B25" s="43"/>
      <c r="C25" s="43"/>
      <c r="D25" s="43"/>
      <c r="E25" s="44"/>
    </row>
    <row r="26" spans="1:5" s="41" customFormat="1" ht="31.2" x14ac:dyDescent="0.3">
      <c r="A26" s="38" t="s">
        <v>70</v>
      </c>
      <c r="B26" s="39" t="s">
        <v>71</v>
      </c>
      <c r="C26" s="39" t="s">
        <v>72</v>
      </c>
      <c r="D26" s="39" t="s">
        <v>73</v>
      </c>
      <c r="E26" s="40" t="s">
        <v>51</v>
      </c>
    </row>
    <row r="27" spans="1:5" s="41" customFormat="1" ht="15.6" x14ac:dyDescent="0.3">
      <c r="A27" s="42"/>
      <c r="B27" s="43"/>
      <c r="C27" s="43"/>
      <c r="D27" s="43"/>
      <c r="E27" s="44"/>
    </row>
    <row r="28" spans="1:5" s="41" customFormat="1" ht="28.8" x14ac:dyDescent="0.3">
      <c r="A28" s="38" t="s">
        <v>74</v>
      </c>
      <c r="B28" s="39" t="s">
        <v>75</v>
      </c>
      <c r="C28" s="39" t="s">
        <v>72</v>
      </c>
      <c r="D28" s="39" t="s">
        <v>73</v>
      </c>
      <c r="E28" s="40" t="s">
        <v>51</v>
      </c>
    </row>
    <row r="29" spans="1:5" s="41" customFormat="1" ht="15.6" x14ac:dyDescent="0.3">
      <c r="A29" s="42"/>
      <c r="B29" s="43"/>
      <c r="C29" s="43"/>
      <c r="D29" s="43"/>
      <c r="E29" s="44"/>
    </row>
    <row r="30" spans="1:5" s="41" customFormat="1" ht="28.8" x14ac:dyDescent="0.3">
      <c r="A30" s="38" t="s">
        <v>76</v>
      </c>
      <c r="B30" s="39" t="s">
        <v>77</v>
      </c>
      <c r="C30" s="39" t="s">
        <v>72</v>
      </c>
      <c r="D30" s="39" t="s">
        <v>73</v>
      </c>
      <c r="E30" s="40" t="s">
        <v>51</v>
      </c>
    </row>
    <row r="31" spans="1:5" s="41" customFormat="1" ht="15.6" x14ac:dyDescent="0.3">
      <c r="A31" s="42"/>
      <c r="B31" s="43"/>
      <c r="C31" s="43"/>
      <c r="D31" s="43"/>
      <c r="E31" s="44"/>
    </row>
    <row r="32" spans="1:5" s="41" customFormat="1" ht="28.8" x14ac:dyDescent="0.3">
      <c r="A32" s="38" t="s">
        <v>78</v>
      </c>
      <c r="B32" s="39" t="s">
        <v>79</v>
      </c>
      <c r="C32" s="39" t="s">
        <v>80</v>
      </c>
      <c r="D32" s="39" t="s">
        <v>81</v>
      </c>
      <c r="E32" s="40" t="s">
        <v>82</v>
      </c>
    </row>
    <row r="33" spans="1:5" s="41" customFormat="1" ht="15.6" x14ac:dyDescent="0.3">
      <c r="A33" s="42"/>
      <c r="B33" s="43"/>
      <c r="C33" s="43"/>
      <c r="D33" s="43"/>
      <c r="E33" s="44"/>
    </row>
    <row r="34" spans="1:5" s="41" customFormat="1" ht="28.8" x14ac:dyDescent="0.3">
      <c r="A34" s="38" t="s">
        <v>83</v>
      </c>
      <c r="B34" s="39" t="s">
        <v>84</v>
      </c>
      <c r="C34" s="39" t="s">
        <v>85</v>
      </c>
      <c r="D34" s="39" t="s">
        <v>86</v>
      </c>
      <c r="E34" s="40" t="s">
        <v>87</v>
      </c>
    </row>
    <row r="35" spans="1:5" ht="15" thickBot="1" x14ac:dyDescent="0.35">
      <c r="A35" s="51"/>
      <c r="B35" s="52"/>
      <c r="C35" s="52"/>
      <c r="D35" s="53"/>
      <c r="E35" s="54"/>
    </row>
    <row r="36" spans="1:5" ht="15.6" x14ac:dyDescent="0.3">
      <c r="A36" s="46" t="s">
        <v>88</v>
      </c>
      <c r="E36" s="47" t="s">
        <v>105</v>
      </c>
    </row>
  </sheetData>
  <sheetProtection algorithmName="SHA-512" hashValue="MvcJFeNTljga+7Jd8lF2yWu4mcvW7DpPdQVuQAJAwoSZbeJPGdZ/SWDGWBEJtn59SldID5Q3WgwPlDQkZpDEPA==" saltValue="PNqbln1BzkP0dCGeFDmpjw==" spinCount="100000" sheet="1" objects="1" scenarios="1"/>
  <pageMargins left="0.7" right="0.7" top="0.75" bottom="0.75" header="0.3" footer="0.3"/>
  <pageSetup scale="50" orientation="landscape" r:id="rId1"/>
  <headerFooter>
    <oddHeader>&amp;F</oddHeader>
    <oddFooter>&amp;C&amp;A&amp;R&amp;P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AX37"/>
  <sheetViews>
    <sheetView workbookViewId="0">
      <selection activeCell="B1" sqref="B1"/>
    </sheetView>
  </sheetViews>
  <sheetFormatPr defaultColWidth="8.6640625" defaultRowHeight="14.4" x14ac:dyDescent="0.3"/>
  <cols>
    <col min="2" max="12" width="8.6640625" style="69"/>
  </cols>
  <sheetData>
    <row r="1" spans="2:50" x14ac:dyDescent="0.3">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row>
    <row r="2" spans="2:50" x14ac:dyDescent="0.3">
      <c r="B2" s="134" t="s">
        <v>177</v>
      </c>
      <c r="C2" s="135" t="s">
        <v>178</v>
      </c>
      <c r="D2" s="135" t="s">
        <v>179</v>
      </c>
      <c r="E2" s="135" t="s">
        <v>180</v>
      </c>
      <c r="F2" s="135" t="s">
        <v>181</v>
      </c>
      <c r="G2" s="135" t="s">
        <v>182</v>
      </c>
      <c r="H2" s="135" t="s">
        <v>183</v>
      </c>
      <c r="I2" s="135" t="s">
        <v>184</v>
      </c>
      <c r="J2" s="135" t="s">
        <v>185</v>
      </c>
      <c r="K2" s="135" t="s">
        <v>186</v>
      </c>
      <c r="L2" s="135" t="s">
        <v>187</v>
      </c>
      <c r="M2" s="135" t="s">
        <v>188</v>
      </c>
      <c r="N2" s="134" t="s">
        <v>177</v>
      </c>
    </row>
    <row r="3" spans="2:50" x14ac:dyDescent="0.3">
      <c r="B3" s="134" t="s">
        <v>189</v>
      </c>
      <c r="C3" s="135" t="s">
        <v>179</v>
      </c>
      <c r="D3" s="135" t="s">
        <v>180</v>
      </c>
      <c r="E3" s="135" t="s">
        <v>181</v>
      </c>
      <c r="F3" s="135" t="s">
        <v>182</v>
      </c>
      <c r="G3" s="135" t="s">
        <v>183</v>
      </c>
      <c r="H3" s="135" t="s">
        <v>184</v>
      </c>
      <c r="I3" s="135" t="s">
        <v>185</v>
      </c>
      <c r="J3" s="135" t="s">
        <v>186</v>
      </c>
      <c r="K3" s="135" t="s">
        <v>187</v>
      </c>
      <c r="L3" s="135" t="s">
        <v>188</v>
      </c>
      <c r="M3" s="134" t="s">
        <v>177</v>
      </c>
      <c r="N3" s="134" t="s">
        <v>189</v>
      </c>
    </row>
    <row r="4" spans="2:50" x14ac:dyDescent="0.3">
      <c r="B4" s="134" t="s">
        <v>190</v>
      </c>
      <c r="C4" s="135" t="s">
        <v>180</v>
      </c>
      <c r="D4" s="135" t="s">
        <v>181</v>
      </c>
      <c r="E4" s="135" t="s">
        <v>182</v>
      </c>
      <c r="F4" s="135" t="s">
        <v>183</v>
      </c>
      <c r="G4" s="135" t="s">
        <v>184</v>
      </c>
      <c r="H4" s="135" t="s">
        <v>185</v>
      </c>
      <c r="I4" s="135" t="s">
        <v>186</v>
      </c>
      <c r="J4" s="135" t="s">
        <v>187</v>
      </c>
      <c r="K4" s="135" t="s">
        <v>188</v>
      </c>
      <c r="L4" s="134" t="s">
        <v>177</v>
      </c>
      <c r="M4" s="134" t="s">
        <v>189</v>
      </c>
      <c r="N4" s="134" t="s">
        <v>190</v>
      </c>
    </row>
    <row r="5" spans="2:50" x14ac:dyDescent="0.3">
      <c r="B5" s="134" t="s">
        <v>191</v>
      </c>
      <c r="C5" s="135" t="s">
        <v>181</v>
      </c>
      <c r="D5" s="135" t="s">
        <v>182</v>
      </c>
      <c r="E5" s="135" t="s">
        <v>183</v>
      </c>
      <c r="F5" s="135" t="s">
        <v>184</v>
      </c>
      <c r="G5" s="135" t="s">
        <v>185</v>
      </c>
      <c r="H5" s="135" t="s">
        <v>186</v>
      </c>
      <c r="I5" s="135" t="s">
        <v>187</v>
      </c>
      <c r="J5" s="135" t="s">
        <v>188</v>
      </c>
      <c r="K5" s="134" t="s">
        <v>177</v>
      </c>
      <c r="L5" s="134" t="s">
        <v>189</v>
      </c>
      <c r="M5" s="134" t="s">
        <v>190</v>
      </c>
      <c r="N5" s="134" t="s">
        <v>191</v>
      </c>
    </row>
    <row r="6" spans="2:50" x14ac:dyDescent="0.3">
      <c r="B6" s="134" t="s">
        <v>192</v>
      </c>
      <c r="C6" s="135" t="s">
        <v>182</v>
      </c>
      <c r="D6" s="135" t="s">
        <v>183</v>
      </c>
      <c r="E6" s="135" t="s">
        <v>184</v>
      </c>
      <c r="F6" s="135" t="s">
        <v>185</v>
      </c>
      <c r="G6" s="135" t="s">
        <v>186</v>
      </c>
      <c r="H6" s="135" t="s">
        <v>187</v>
      </c>
      <c r="I6" s="135" t="s">
        <v>188</v>
      </c>
      <c r="J6" s="134" t="s">
        <v>177</v>
      </c>
      <c r="K6" s="134" t="s">
        <v>189</v>
      </c>
      <c r="L6" s="134" t="s">
        <v>190</v>
      </c>
      <c r="M6" s="134" t="s">
        <v>191</v>
      </c>
      <c r="N6" s="134" t="s">
        <v>192</v>
      </c>
    </row>
    <row r="7" spans="2:50" x14ac:dyDescent="0.3">
      <c r="B7" s="134" t="s">
        <v>193</v>
      </c>
      <c r="C7" s="135" t="s">
        <v>183</v>
      </c>
      <c r="D7" s="135" t="s">
        <v>184</v>
      </c>
      <c r="E7" s="135" t="s">
        <v>185</v>
      </c>
      <c r="F7" s="135" t="s">
        <v>186</v>
      </c>
      <c r="G7" s="135" t="s">
        <v>187</v>
      </c>
      <c r="H7" s="135" t="s">
        <v>188</v>
      </c>
      <c r="I7" s="134" t="s">
        <v>177</v>
      </c>
      <c r="J7" s="134" t="s">
        <v>189</v>
      </c>
      <c r="K7" s="134" t="s">
        <v>190</v>
      </c>
      <c r="L7" s="134" t="s">
        <v>191</v>
      </c>
      <c r="M7" s="134" t="s">
        <v>192</v>
      </c>
      <c r="N7" s="134" t="s">
        <v>193</v>
      </c>
    </row>
    <row r="8" spans="2:50" x14ac:dyDescent="0.3">
      <c r="B8" s="134" t="s">
        <v>194</v>
      </c>
      <c r="C8" s="135" t="s">
        <v>184</v>
      </c>
      <c r="D8" s="135" t="s">
        <v>185</v>
      </c>
      <c r="E8" s="135" t="s">
        <v>186</v>
      </c>
      <c r="F8" s="135" t="s">
        <v>187</v>
      </c>
      <c r="G8" s="135" t="s">
        <v>188</v>
      </c>
      <c r="H8" s="134" t="s">
        <v>177</v>
      </c>
      <c r="I8" s="134" t="s">
        <v>189</v>
      </c>
      <c r="J8" s="134" t="s">
        <v>190</v>
      </c>
      <c r="K8" s="134" t="s">
        <v>191</v>
      </c>
      <c r="L8" s="134" t="s">
        <v>192</v>
      </c>
      <c r="M8" s="134" t="s">
        <v>193</v>
      </c>
      <c r="N8" s="134" t="s">
        <v>194</v>
      </c>
    </row>
    <row r="9" spans="2:50" x14ac:dyDescent="0.3">
      <c r="B9" s="134" t="s">
        <v>195</v>
      </c>
      <c r="C9" s="135" t="s">
        <v>185</v>
      </c>
      <c r="D9" s="135" t="s">
        <v>186</v>
      </c>
      <c r="E9" s="135" t="s">
        <v>187</v>
      </c>
      <c r="F9" s="135" t="s">
        <v>188</v>
      </c>
      <c r="G9" s="134" t="s">
        <v>177</v>
      </c>
      <c r="H9" s="134" t="s">
        <v>189</v>
      </c>
      <c r="I9" s="134" t="s">
        <v>190</v>
      </c>
      <c r="J9" s="134" t="s">
        <v>191</v>
      </c>
      <c r="K9" s="134" t="s">
        <v>192</v>
      </c>
      <c r="L9" s="134" t="s">
        <v>193</v>
      </c>
      <c r="M9" s="134" t="s">
        <v>194</v>
      </c>
      <c r="N9" s="134" t="s">
        <v>195</v>
      </c>
    </row>
    <row r="10" spans="2:50" x14ac:dyDescent="0.3">
      <c r="B10" s="134" t="s">
        <v>196</v>
      </c>
      <c r="C10" s="135" t="s">
        <v>186</v>
      </c>
      <c r="D10" s="135" t="s">
        <v>187</v>
      </c>
      <c r="E10" s="135" t="s">
        <v>188</v>
      </c>
      <c r="F10" s="134" t="s">
        <v>177</v>
      </c>
      <c r="G10" s="134" t="s">
        <v>189</v>
      </c>
      <c r="H10" s="134" t="s">
        <v>190</v>
      </c>
      <c r="I10" s="134" t="s">
        <v>191</v>
      </c>
      <c r="J10" s="134" t="s">
        <v>192</v>
      </c>
      <c r="K10" s="134" t="s">
        <v>193</v>
      </c>
      <c r="L10" s="134" t="s">
        <v>194</v>
      </c>
      <c r="M10" s="134" t="s">
        <v>195</v>
      </c>
      <c r="N10" s="134" t="s">
        <v>196</v>
      </c>
    </row>
    <row r="11" spans="2:50" x14ac:dyDescent="0.3">
      <c r="B11" s="134" t="s">
        <v>197</v>
      </c>
      <c r="C11" s="135" t="s">
        <v>187</v>
      </c>
      <c r="D11" s="135" t="s">
        <v>188</v>
      </c>
      <c r="E11" s="134" t="s">
        <v>177</v>
      </c>
      <c r="F11" s="134" t="s">
        <v>189</v>
      </c>
      <c r="G11" s="134" t="s">
        <v>190</v>
      </c>
      <c r="H11" s="134" t="s">
        <v>191</v>
      </c>
      <c r="I11" s="134" t="s">
        <v>192</v>
      </c>
      <c r="J11" s="134" t="s">
        <v>193</v>
      </c>
      <c r="K11" s="134" t="s">
        <v>194</v>
      </c>
      <c r="L11" s="134" t="s">
        <v>195</v>
      </c>
      <c r="M11" s="134" t="s">
        <v>196</v>
      </c>
      <c r="N11" s="134" t="s">
        <v>197</v>
      </c>
    </row>
    <row r="12" spans="2:50" x14ac:dyDescent="0.3">
      <c r="B12" s="134" t="s">
        <v>198</v>
      </c>
      <c r="C12" s="135" t="s">
        <v>188</v>
      </c>
      <c r="D12" s="134" t="s">
        <v>177</v>
      </c>
      <c r="E12" s="134" t="s">
        <v>189</v>
      </c>
      <c r="F12" s="134" t="s">
        <v>190</v>
      </c>
      <c r="G12" s="134" t="s">
        <v>191</v>
      </c>
      <c r="H12" s="134" t="s">
        <v>192</v>
      </c>
      <c r="I12" s="134" t="s">
        <v>193</v>
      </c>
      <c r="J12" s="134" t="s">
        <v>194</v>
      </c>
      <c r="K12" s="134" t="s">
        <v>195</v>
      </c>
      <c r="L12" s="134" t="s">
        <v>196</v>
      </c>
      <c r="M12" s="134" t="s">
        <v>197</v>
      </c>
      <c r="N12" s="134" t="s">
        <v>198</v>
      </c>
    </row>
    <row r="13" spans="2:50" x14ac:dyDescent="0.3">
      <c r="B13" s="134" t="s">
        <v>199</v>
      </c>
      <c r="C13" s="134" t="s">
        <v>177</v>
      </c>
      <c r="D13" s="134" t="s">
        <v>189</v>
      </c>
      <c r="E13" s="134" t="s">
        <v>190</v>
      </c>
      <c r="F13" s="134" t="s">
        <v>191</v>
      </c>
      <c r="G13" s="134" t="s">
        <v>192</v>
      </c>
      <c r="H13" s="134" t="s">
        <v>193</v>
      </c>
      <c r="I13" s="134" t="s">
        <v>194</v>
      </c>
      <c r="J13" s="134" t="s">
        <v>195</v>
      </c>
      <c r="K13" s="134" t="s">
        <v>196</v>
      </c>
      <c r="L13" s="134" t="s">
        <v>197</v>
      </c>
      <c r="M13" s="134" t="s">
        <v>198</v>
      </c>
      <c r="N13" s="134" t="s">
        <v>199</v>
      </c>
    </row>
    <row r="14" spans="2:50" x14ac:dyDescent="0.3">
      <c r="B14" s="136" t="s">
        <v>200</v>
      </c>
      <c r="C14" s="134" t="s">
        <v>189</v>
      </c>
      <c r="D14" s="134" t="s">
        <v>190</v>
      </c>
      <c r="E14" s="134" t="s">
        <v>191</v>
      </c>
      <c r="F14" s="134" t="s">
        <v>192</v>
      </c>
      <c r="G14" s="134" t="s">
        <v>193</v>
      </c>
      <c r="H14" s="134" t="s">
        <v>194</v>
      </c>
      <c r="I14" s="134" t="s">
        <v>195</v>
      </c>
      <c r="J14" s="134" t="s">
        <v>196</v>
      </c>
      <c r="K14" s="134" t="s">
        <v>197</v>
      </c>
      <c r="L14" s="134" t="s">
        <v>198</v>
      </c>
      <c r="M14" s="134" t="s">
        <v>199</v>
      </c>
      <c r="N14" s="136" t="s">
        <v>200</v>
      </c>
    </row>
    <row r="15" spans="2:50" x14ac:dyDescent="0.3">
      <c r="B15" s="136" t="s">
        <v>201</v>
      </c>
      <c r="C15" s="134" t="s">
        <v>190</v>
      </c>
      <c r="D15" s="134" t="s">
        <v>191</v>
      </c>
      <c r="E15" s="134" t="s">
        <v>192</v>
      </c>
      <c r="F15" s="134" t="s">
        <v>193</v>
      </c>
      <c r="G15" s="134" t="s">
        <v>194</v>
      </c>
      <c r="H15" s="134" t="s">
        <v>195</v>
      </c>
      <c r="I15" s="134" t="s">
        <v>196</v>
      </c>
      <c r="J15" s="134" t="s">
        <v>197</v>
      </c>
      <c r="K15" s="134" t="s">
        <v>198</v>
      </c>
      <c r="L15" s="134" t="s">
        <v>199</v>
      </c>
      <c r="M15" s="136" t="s">
        <v>200</v>
      </c>
      <c r="N15" s="136" t="s">
        <v>201</v>
      </c>
    </row>
    <row r="16" spans="2:50" x14ac:dyDescent="0.3">
      <c r="B16" s="136" t="s">
        <v>202</v>
      </c>
      <c r="C16" s="134" t="s">
        <v>191</v>
      </c>
      <c r="D16" s="134" t="s">
        <v>192</v>
      </c>
      <c r="E16" s="134" t="s">
        <v>193</v>
      </c>
      <c r="F16" s="134" t="s">
        <v>194</v>
      </c>
      <c r="G16" s="134" t="s">
        <v>195</v>
      </c>
      <c r="H16" s="134" t="s">
        <v>196</v>
      </c>
      <c r="I16" s="134" t="s">
        <v>197</v>
      </c>
      <c r="J16" s="134" t="s">
        <v>198</v>
      </c>
      <c r="K16" s="134" t="s">
        <v>199</v>
      </c>
      <c r="L16" s="136" t="s">
        <v>200</v>
      </c>
      <c r="M16" s="136" t="s">
        <v>201</v>
      </c>
      <c r="N16" s="136" t="s">
        <v>202</v>
      </c>
    </row>
    <row r="17" spans="2:14" x14ac:dyDescent="0.3">
      <c r="B17" s="136" t="s">
        <v>203</v>
      </c>
      <c r="C17" s="134" t="s">
        <v>192</v>
      </c>
      <c r="D17" s="134" t="s">
        <v>193</v>
      </c>
      <c r="E17" s="134" t="s">
        <v>194</v>
      </c>
      <c r="F17" s="134" t="s">
        <v>195</v>
      </c>
      <c r="G17" s="134" t="s">
        <v>196</v>
      </c>
      <c r="H17" s="134" t="s">
        <v>197</v>
      </c>
      <c r="I17" s="134" t="s">
        <v>198</v>
      </c>
      <c r="J17" s="134" t="s">
        <v>199</v>
      </c>
      <c r="K17" s="136" t="s">
        <v>200</v>
      </c>
      <c r="L17" s="136" t="s">
        <v>201</v>
      </c>
      <c r="M17" s="136" t="s">
        <v>202</v>
      </c>
      <c r="N17" s="136" t="s">
        <v>203</v>
      </c>
    </row>
    <row r="18" spans="2:14" x14ac:dyDescent="0.3">
      <c r="B18" s="136" t="s">
        <v>204</v>
      </c>
      <c r="C18" s="134" t="s">
        <v>193</v>
      </c>
      <c r="D18" s="134" t="s">
        <v>194</v>
      </c>
      <c r="E18" s="134" t="s">
        <v>195</v>
      </c>
      <c r="F18" s="134" t="s">
        <v>196</v>
      </c>
      <c r="G18" s="134" t="s">
        <v>197</v>
      </c>
      <c r="H18" s="134" t="s">
        <v>198</v>
      </c>
      <c r="I18" s="134" t="s">
        <v>199</v>
      </c>
      <c r="J18" s="136" t="s">
        <v>200</v>
      </c>
      <c r="K18" s="136" t="s">
        <v>201</v>
      </c>
      <c r="L18" s="136" t="s">
        <v>202</v>
      </c>
      <c r="M18" s="136" t="s">
        <v>203</v>
      </c>
      <c r="N18" s="136" t="s">
        <v>204</v>
      </c>
    </row>
    <row r="19" spans="2:14" x14ac:dyDescent="0.3">
      <c r="B19" s="136" t="s">
        <v>205</v>
      </c>
      <c r="C19" s="134" t="s">
        <v>194</v>
      </c>
      <c r="D19" s="134" t="s">
        <v>195</v>
      </c>
      <c r="E19" s="134" t="s">
        <v>196</v>
      </c>
      <c r="F19" s="134" t="s">
        <v>197</v>
      </c>
      <c r="G19" s="134" t="s">
        <v>198</v>
      </c>
      <c r="H19" s="134" t="s">
        <v>199</v>
      </c>
      <c r="I19" s="136" t="s">
        <v>200</v>
      </c>
      <c r="J19" s="136" t="s">
        <v>201</v>
      </c>
      <c r="K19" s="136" t="s">
        <v>202</v>
      </c>
      <c r="L19" s="136" t="s">
        <v>203</v>
      </c>
      <c r="M19" s="136" t="s">
        <v>204</v>
      </c>
      <c r="N19" s="136" t="s">
        <v>205</v>
      </c>
    </row>
    <row r="20" spans="2:14" x14ac:dyDescent="0.3">
      <c r="B20" s="136" t="s">
        <v>206</v>
      </c>
      <c r="C20" s="134" t="s">
        <v>195</v>
      </c>
      <c r="D20" s="134" t="s">
        <v>196</v>
      </c>
      <c r="E20" s="134" t="s">
        <v>197</v>
      </c>
      <c r="F20" s="134" t="s">
        <v>198</v>
      </c>
      <c r="G20" s="134" t="s">
        <v>199</v>
      </c>
      <c r="H20" s="136" t="s">
        <v>200</v>
      </c>
      <c r="I20" s="136" t="s">
        <v>201</v>
      </c>
      <c r="J20" s="136" t="s">
        <v>202</v>
      </c>
      <c r="K20" s="136" t="s">
        <v>203</v>
      </c>
      <c r="L20" s="136" t="s">
        <v>204</v>
      </c>
      <c r="M20" s="136" t="s">
        <v>205</v>
      </c>
      <c r="N20" s="136" t="s">
        <v>206</v>
      </c>
    </row>
    <row r="21" spans="2:14" x14ac:dyDescent="0.3">
      <c r="B21" s="136" t="s">
        <v>207</v>
      </c>
      <c r="C21" s="134" t="s">
        <v>196</v>
      </c>
      <c r="D21" s="134" t="s">
        <v>197</v>
      </c>
      <c r="E21" s="134" t="s">
        <v>198</v>
      </c>
      <c r="F21" s="134" t="s">
        <v>199</v>
      </c>
      <c r="G21" s="136" t="s">
        <v>200</v>
      </c>
      <c r="H21" s="136" t="s">
        <v>201</v>
      </c>
      <c r="I21" s="136" t="s">
        <v>202</v>
      </c>
      <c r="J21" s="136" t="s">
        <v>203</v>
      </c>
      <c r="K21" s="136" t="s">
        <v>204</v>
      </c>
      <c r="L21" s="136" t="s">
        <v>205</v>
      </c>
      <c r="M21" s="136" t="s">
        <v>206</v>
      </c>
      <c r="N21" s="136" t="s">
        <v>207</v>
      </c>
    </row>
    <row r="22" spans="2:14" x14ac:dyDescent="0.3">
      <c r="B22" s="136" t="s">
        <v>208</v>
      </c>
      <c r="C22" s="134" t="s">
        <v>197</v>
      </c>
      <c r="D22" s="134" t="s">
        <v>198</v>
      </c>
      <c r="E22" s="134" t="s">
        <v>199</v>
      </c>
      <c r="F22" s="136" t="s">
        <v>200</v>
      </c>
      <c r="G22" s="136" t="s">
        <v>201</v>
      </c>
      <c r="H22" s="136" t="s">
        <v>202</v>
      </c>
      <c r="I22" s="136" t="s">
        <v>203</v>
      </c>
      <c r="J22" s="136" t="s">
        <v>204</v>
      </c>
      <c r="K22" s="136" t="s">
        <v>205</v>
      </c>
      <c r="L22" s="136" t="s">
        <v>206</v>
      </c>
      <c r="M22" s="136" t="s">
        <v>207</v>
      </c>
      <c r="N22" s="136" t="s">
        <v>208</v>
      </c>
    </row>
    <row r="23" spans="2:14" x14ac:dyDescent="0.3">
      <c r="B23" s="136" t="s">
        <v>209</v>
      </c>
      <c r="C23" s="134" t="s">
        <v>198</v>
      </c>
      <c r="D23" s="134" t="s">
        <v>199</v>
      </c>
      <c r="E23" s="136" t="s">
        <v>200</v>
      </c>
      <c r="F23" s="136" t="s">
        <v>201</v>
      </c>
      <c r="G23" s="136" t="s">
        <v>202</v>
      </c>
      <c r="H23" s="136" t="s">
        <v>203</v>
      </c>
      <c r="I23" s="136" t="s">
        <v>204</v>
      </c>
      <c r="J23" s="136" t="s">
        <v>205</v>
      </c>
      <c r="K23" s="136" t="s">
        <v>206</v>
      </c>
      <c r="L23" s="136" t="s">
        <v>207</v>
      </c>
      <c r="M23" s="136" t="s">
        <v>208</v>
      </c>
      <c r="N23" s="136" t="s">
        <v>209</v>
      </c>
    </row>
    <row r="24" spans="2:14" x14ac:dyDescent="0.3">
      <c r="B24" s="136" t="s">
        <v>210</v>
      </c>
      <c r="C24" s="134" t="s">
        <v>199</v>
      </c>
      <c r="D24" s="136" t="s">
        <v>200</v>
      </c>
      <c r="E24" s="136" t="s">
        <v>201</v>
      </c>
      <c r="F24" s="136" t="s">
        <v>202</v>
      </c>
      <c r="G24" s="136" t="s">
        <v>203</v>
      </c>
      <c r="H24" s="136" t="s">
        <v>204</v>
      </c>
      <c r="I24" s="136" t="s">
        <v>205</v>
      </c>
      <c r="J24" s="136" t="s">
        <v>206</v>
      </c>
      <c r="K24" s="136" t="s">
        <v>207</v>
      </c>
      <c r="L24" s="136" t="s">
        <v>208</v>
      </c>
      <c r="M24" s="136" t="s">
        <v>209</v>
      </c>
      <c r="N24" s="136" t="s">
        <v>210</v>
      </c>
    </row>
    <row r="25" spans="2:14" x14ac:dyDescent="0.3">
      <c r="B25" s="136" t="s">
        <v>211</v>
      </c>
      <c r="C25" s="136" t="s">
        <v>200</v>
      </c>
      <c r="D25" s="136" t="s">
        <v>201</v>
      </c>
      <c r="E25" s="136" t="s">
        <v>202</v>
      </c>
      <c r="F25" s="136" t="s">
        <v>203</v>
      </c>
      <c r="G25" s="136" t="s">
        <v>204</v>
      </c>
      <c r="H25" s="136" t="s">
        <v>205</v>
      </c>
      <c r="I25" s="136" t="s">
        <v>206</v>
      </c>
      <c r="J25" s="136" t="s">
        <v>207</v>
      </c>
      <c r="K25" s="136" t="s">
        <v>208</v>
      </c>
      <c r="L25" s="136" t="s">
        <v>209</v>
      </c>
      <c r="M25" s="136" t="s">
        <v>210</v>
      </c>
      <c r="N25" s="136" t="s">
        <v>211</v>
      </c>
    </row>
    <row r="26" spans="2:14" x14ac:dyDescent="0.3">
      <c r="B26" s="137" t="s">
        <v>212</v>
      </c>
      <c r="C26" s="136" t="s">
        <v>201</v>
      </c>
      <c r="D26" s="136" t="s">
        <v>202</v>
      </c>
      <c r="E26" s="136" t="s">
        <v>203</v>
      </c>
      <c r="F26" s="136" t="s">
        <v>204</v>
      </c>
      <c r="G26" s="136" t="s">
        <v>205</v>
      </c>
      <c r="H26" s="136" t="s">
        <v>206</v>
      </c>
      <c r="I26" s="136" t="s">
        <v>207</v>
      </c>
      <c r="J26" s="136" t="s">
        <v>208</v>
      </c>
      <c r="K26" s="136" t="s">
        <v>209</v>
      </c>
      <c r="L26" s="136" t="s">
        <v>210</v>
      </c>
      <c r="M26" s="136" t="s">
        <v>211</v>
      </c>
      <c r="N26" s="137" t="s">
        <v>212</v>
      </c>
    </row>
    <row r="27" spans="2:14" x14ac:dyDescent="0.3">
      <c r="B27" s="137" t="s">
        <v>213</v>
      </c>
      <c r="C27" s="136" t="s">
        <v>202</v>
      </c>
      <c r="D27" s="136" t="s">
        <v>203</v>
      </c>
      <c r="E27" s="136" t="s">
        <v>204</v>
      </c>
      <c r="F27" s="136" t="s">
        <v>205</v>
      </c>
      <c r="G27" s="136" t="s">
        <v>206</v>
      </c>
      <c r="H27" s="136" t="s">
        <v>207</v>
      </c>
      <c r="I27" s="136" t="s">
        <v>208</v>
      </c>
      <c r="J27" s="136" t="s">
        <v>209</v>
      </c>
      <c r="K27" s="136" t="s">
        <v>210</v>
      </c>
      <c r="L27" s="136" t="s">
        <v>211</v>
      </c>
      <c r="M27" s="137" t="s">
        <v>212</v>
      </c>
      <c r="N27" s="137" t="s">
        <v>213</v>
      </c>
    </row>
    <row r="28" spans="2:14" x14ac:dyDescent="0.3">
      <c r="B28" s="137" t="s">
        <v>214</v>
      </c>
      <c r="C28" s="136" t="s">
        <v>203</v>
      </c>
      <c r="D28" s="136" t="s">
        <v>204</v>
      </c>
      <c r="E28" s="136" t="s">
        <v>205</v>
      </c>
      <c r="F28" s="136" t="s">
        <v>206</v>
      </c>
      <c r="G28" s="136" t="s">
        <v>207</v>
      </c>
      <c r="H28" s="136" t="s">
        <v>208</v>
      </c>
      <c r="I28" s="136" t="s">
        <v>209</v>
      </c>
      <c r="J28" s="136" t="s">
        <v>210</v>
      </c>
      <c r="K28" s="136" t="s">
        <v>211</v>
      </c>
      <c r="L28" s="137" t="s">
        <v>212</v>
      </c>
      <c r="M28" s="137" t="s">
        <v>213</v>
      </c>
      <c r="N28" s="137" t="s">
        <v>214</v>
      </c>
    </row>
    <row r="29" spans="2:14" x14ac:dyDescent="0.3">
      <c r="B29" s="137" t="s">
        <v>215</v>
      </c>
      <c r="C29" s="136" t="s">
        <v>204</v>
      </c>
      <c r="D29" s="136" t="s">
        <v>205</v>
      </c>
      <c r="E29" s="136" t="s">
        <v>206</v>
      </c>
      <c r="F29" s="136" t="s">
        <v>207</v>
      </c>
      <c r="G29" s="136" t="s">
        <v>208</v>
      </c>
      <c r="H29" s="136" t="s">
        <v>209</v>
      </c>
      <c r="I29" s="136" t="s">
        <v>210</v>
      </c>
      <c r="J29" s="136" t="s">
        <v>211</v>
      </c>
      <c r="K29" s="137" t="s">
        <v>212</v>
      </c>
      <c r="L29" s="137" t="s">
        <v>213</v>
      </c>
      <c r="M29" s="137" t="s">
        <v>214</v>
      </c>
      <c r="N29" s="137" t="s">
        <v>215</v>
      </c>
    </row>
    <row r="30" spans="2:14" x14ac:dyDescent="0.3">
      <c r="B30" s="137" t="s">
        <v>216</v>
      </c>
      <c r="C30" s="136" t="s">
        <v>205</v>
      </c>
      <c r="D30" s="136" t="s">
        <v>206</v>
      </c>
      <c r="E30" s="136" t="s">
        <v>207</v>
      </c>
      <c r="F30" s="136" t="s">
        <v>208</v>
      </c>
      <c r="G30" s="136" t="s">
        <v>209</v>
      </c>
      <c r="H30" s="136" t="s">
        <v>210</v>
      </c>
      <c r="I30" s="136" t="s">
        <v>211</v>
      </c>
      <c r="J30" s="137" t="s">
        <v>212</v>
      </c>
      <c r="K30" s="137" t="s">
        <v>213</v>
      </c>
      <c r="L30" s="137" t="s">
        <v>214</v>
      </c>
      <c r="M30" s="137" t="s">
        <v>215</v>
      </c>
      <c r="N30" s="137" t="s">
        <v>216</v>
      </c>
    </row>
    <row r="31" spans="2:14" x14ac:dyDescent="0.3">
      <c r="B31" s="137" t="s">
        <v>217</v>
      </c>
      <c r="C31" s="136" t="s">
        <v>206</v>
      </c>
      <c r="D31" s="136" t="s">
        <v>207</v>
      </c>
      <c r="E31" s="136" t="s">
        <v>208</v>
      </c>
      <c r="F31" s="136" t="s">
        <v>209</v>
      </c>
      <c r="G31" s="136" t="s">
        <v>210</v>
      </c>
      <c r="H31" s="136" t="s">
        <v>211</v>
      </c>
      <c r="I31" s="137" t="s">
        <v>212</v>
      </c>
      <c r="J31" s="137" t="s">
        <v>213</v>
      </c>
      <c r="K31" s="137" t="s">
        <v>214</v>
      </c>
      <c r="L31" s="137" t="s">
        <v>215</v>
      </c>
      <c r="M31" s="137" t="s">
        <v>216</v>
      </c>
      <c r="N31" s="137" t="s">
        <v>217</v>
      </c>
    </row>
    <row r="32" spans="2:14" x14ac:dyDescent="0.3">
      <c r="B32" s="137" t="s">
        <v>218</v>
      </c>
      <c r="C32" s="136" t="s">
        <v>207</v>
      </c>
      <c r="D32" s="136" t="s">
        <v>208</v>
      </c>
      <c r="E32" s="136" t="s">
        <v>209</v>
      </c>
      <c r="F32" s="136" t="s">
        <v>210</v>
      </c>
      <c r="G32" s="136" t="s">
        <v>211</v>
      </c>
      <c r="H32" s="137" t="s">
        <v>212</v>
      </c>
      <c r="I32" s="137" t="s">
        <v>213</v>
      </c>
      <c r="J32" s="137" t="s">
        <v>214</v>
      </c>
      <c r="K32" s="137" t="s">
        <v>215</v>
      </c>
      <c r="L32" s="137" t="s">
        <v>216</v>
      </c>
      <c r="M32" s="137" t="s">
        <v>217</v>
      </c>
      <c r="N32" s="137" t="s">
        <v>218</v>
      </c>
    </row>
    <row r="33" spans="2:14" x14ac:dyDescent="0.3">
      <c r="B33" s="137" t="s">
        <v>219</v>
      </c>
      <c r="C33" s="136" t="s">
        <v>208</v>
      </c>
      <c r="D33" s="136" t="s">
        <v>209</v>
      </c>
      <c r="E33" s="136" t="s">
        <v>210</v>
      </c>
      <c r="F33" s="136" t="s">
        <v>211</v>
      </c>
      <c r="G33" s="137" t="s">
        <v>212</v>
      </c>
      <c r="H33" s="137" t="s">
        <v>213</v>
      </c>
      <c r="I33" s="137" t="s">
        <v>214</v>
      </c>
      <c r="J33" s="137" t="s">
        <v>215</v>
      </c>
      <c r="K33" s="137" t="s">
        <v>216</v>
      </c>
      <c r="L33" s="137" t="s">
        <v>217</v>
      </c>
      <c r="M33" s="137" t="s">
        <v>218</v>
      </c>
      <c r="N33" s="137" t="s">
        <v>219</v>
      </c>
    </row>
    <row r="34" spans="2:14" x14ac:dyDescent="0.3">
      <c r="B34" s="137" t="s">
        <v>220</v>
      </c>
      <c r="C34" s="136" t="s">
        <v>209</v>
      </c>
      <c r="D34" s="136" t="s">
        <v>210</v>
      </c>
      <c r="E34" s="136" t="s">
        <v>211</v>
      </c>
      <c r="F34" s="137" t="s">
        <v>212</v>
      </c>
      <c r="G34" s="137" t="s">
        <v>213</v>
      </c>
      <c r="H34" s="137" t="s">
        <v>214</v>
      </c>
      <c r="I34" s="137" t="s">
        <v>215</v>
      </c>
      <c r="J34" s="137" t="s">
        <v>216</v>
      </c>
      <c r="K34" s="137" t="s">
        <v>217</v>
      </c>
      <c r="L34" s="137" t="s">
        <v>218</v>
      </c>
      <c r="M34" s="137" t="s">
        <v>219</v>
      </c>
      <c r="N34" s="137" t="s">
        <v>220</v>
      </c>
    </row>
    <row r="35" spans="2:14" x14ac:dyDescent="0.3">
      <c r="B35" s="137" t="s">
        <v>221</v>
      </c>
      <c r="C35" s="136" t="s">
        <v>210</v>
      </c>
      <c r="D35" s="136" t="s">
        <v>211</v>
      </c>
      <c r="E35" s="137" t="s">
        <v>212</v>
      </c>
      <c r="F35" s="137" t="s">
        <v>213</v>
      </c>
      <c r="G35" s="137" t="s">
        <v>214</v>
      </c>
      <c r="H35" s="137" t="s">
        <v>215</v>
      </c>
      <c r="I35" s="137" t="s">
        <v>216</v>
      </c>
      <c r="J35" s="137" t="s">
        <v>217</v>
      </c>
      <c r="K35" s="137" t="s">
        <v>218</v>
      </c>
      <c r="L35" s="137" t="s">
        <v>219</v>
      </c>
      <c r="M35" s="137" t="s">
        <v>220</v>
      </c>
      <c r="N35" s="137" t="s">
        <v>221</v>
      </c>
    </row>
    <row r="36" spans="2:14" x14ac:dyDescent="0.3">
      <c r="B36" s="137" t="s">
        <v>222</v>
      </c>
      <c r="C36" s="136" t="s">
        <v>211</v>
      </c>
      <c r="D36" s="137" t="s">
        <v>212</v>
      </c>
      <c r="E36" s="137" t="s">
        <v>213</v>
      </c>
      <c r="F36" s="137" t="s">
        <v>214</v>
      </c>
      <c r="G36" s="137" t="s">
        <v>215</v>
      </c>
      <c r="H36" s="137" t="s">
        <v>216</v>
      </c>
      <c r="I36" s="137" t="s">
        <v>217</v>
      </c>
      <c r="J36" s="137" t="s">
        <v>218</v>
      </c>
      <c r="K36" s="137" t="s">
        <v>219</v>
      </c>
      <c r="L36" s="137" t="s">
        <v>220</v>
      </c>
      <c r="M36" s="137" t="s">
        <v>221</v>
      </c>
      <c r="N36" s="137" t="s">
        <v>222</v>
      </c>
    </row>
    <row r="37" spans="2:14" x14ac:dyDescent="0.3">
      <c r="B37" s="137" t="s">
        <v>223</v>
      </c>
      <c r="C37" s="137" t="s">
        <v>212</v>
      </c>
      <c r="D37" s="137" t="s">
        <v>213</v>
      </c>
      <c r="E37" s="137" t="s">
        <v>214</v>
      </c>
      <c r="F37" s="137" t="s">
        <v>215</v>
      </c>
      <c r="G37" s="137" t="s">
        <v>216</v>
      </c>
      <c r="H37" s="137" t="s">
        <v>217</v>
      </c>
      <c r="I37" s="137" t="s">
        <v>218</v>
      </c>
      <c r="J37" s="137" t="s">
        <v>219</v>
      </c>
      <c r="K37" s="137" t="s">
        <v>220</v>
      </c>
      <c r="L37" s="137" t="s">
        <v>221</v>
      </c>
      <c r="M37" s="137" t="s">
        <v>222</v>
      </c>
      <c r="N37" s="137" t="s">
        <v>223</v>
      </c>
    </row>
  </sheetData>
  <sheetProtection algorithmName="SHA-512" hashValue="sApRkX1Da9S8qkv9qEbnHk2Dfy1W0Cnx16ecduvuyoYyCcixWZAl/egf6d9fgbEJC88l1ReUF/N5sE8jrcMY/A==" saltValue="97uE+FLaDmtBjMgvlMX7W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1-Instructions</vt:lpstr>
      <vt:lpstr>2-Data Input &amp; Assumptions</vt:lpstr>
      <vt:lpstr>3-Cash Flow Chart</vt:lpstr>
      <vt:lpstr>4-Forecast Indicators</vt:lpstr>
      <vt:lpstr>5-FY Table</vt:lpstr>
      <vt:lpstr>'1-Instructions'!Print_Area</vt:lpstr>
      <vt:lpstr>'2-Data Input &amp; Assumptions'!Print_Titles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Simplified Monthly Cash Flow Model</dc:title>
  <dc:subject>Simplified Monthly Cash Flow Model</dc:subject>
  <dc:creator>Chris Swanson</dc:creator>
  <cp:lastModifiedBy>Chris Swanson</cp:lastModifiedBy>
  <cp:lastPrinted>2020-04-27T15:22:54Z</cp:lastPrinted>
  <dcterms:created xsi:type="dcterms:W3CDTF">2016-07-13T17:11:33Z</dcterms:created>
  <dcterms:modified xsi:type="dcterms:W3CDTF">2024-11-22T14:44:50Z</dcterms:modified>
  <cp:contentStatus>DEMONSTRATION MODEL</cp:contentStatus>
</cp:coreProperties>
</file>